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riancon\Documents\enseignement\23-24\ISS\TD 6 - Ecran\"/>
    </mc:Choice>
  </mc:AlternateContent>
  <xr:revisionPtr revIDLastSave="0" documentId="13_ncr:1_{CC20EAB6-AD0E-424C-8E60-AD36E5C44F40}" xr6:coauthVersionLast="36" xr6:coauthVersionMax="36" xr10:uidLastSave="{00000000-0000-0000-0000-000000000000}"/>
  <bookViews>
    <workbookView xWindow="5100" yWindow="3700" windowWidth="29640" windowHeight="17860" activeTab="1" xr2:uid="{0CCEFAF5-56B9-F14F-A672-6EB79C1DD91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2" l="1"/>
  <c r="C49" i="2"/>
  <c r="C47" i="2"/>
  <c r="C46" i="2"/>
  <c r="C45" i="2"/>
  <c r="F39" i="2"/>
  <c r="I35" i="2"/>
  <c r="I34" i="2"/>
  <c r="F36" i="2"/>
  <c r="F35" i="2"/>
  <c r="F33" i="2"/>
  <c r="F32" i="2"/>
  <c r="F30" i="2"/>
  <c r="C52" i="2"/>
  <c r="F50" i="2"/>
  <c r="F49" i="2"/>
  <c r="F47" i="2"/>
  <c r="F46" i="2"/>
  <c r="F45" i="2"/>
  <c r="F44" i="2"/>
  <c r="C44" i="2"/>
  <c r="C40" i="2"/>
  <c r="C39" i="2"/>
  <c r="C35" i="2"/>
  <c r="C17" i="2"/>
  <c r="C12" i="2"/>
  <c r="C24" i="2" s="1"/>
  <c r="C11" i="2"/>
  <c r="D8" i="2"/>
  <c r="D7" i="2"/>
  <c r="F53" i="2" s="1"/>
  <c r="D6" i="2"/>
  <c r="B18" i="2" s="1"/>
  <c r="D5" i="2"/>
  <c r="C14" i="2" s="1"/>
  <c r="C58" i="1"/>
  <c r="F55" i="2" l="1"/>
  <c r="F54" i="2"/>
  <c r="C22" i="2"/>
  <c r="B26" i="2" s="1"/>
  <c r="E42" i="2"/>
  <c r="C20" i="2"/>
  <c r="F55" i="1"/>
  <c r="F54" i="1"/>
  <c r="F53" i="1"/>
  <c r="F47" i="1"/>
  <c r="F50" i="1" s="1"/>
  <c r="F46" i="1"/>
  <c r="F49" i="1" s="1"/>
  <c r="F45" i="1"/>
  <c r="F44" i="1"/>
  <c r="C44" i="1" l="1"/>
  <c r="C50" i="1"/>
  <c r="C49" i="1"/>
  <c r="C47" i="1"/>
  <c r="C46" i="1"/>
  <c r="C45" i="1"/>
  <c r="C52" i="1"/>
  <c r="D6" i="1"/>
  <c r="D8" i="1" l="1"/>
  <c r="C14" i="1" s="1"/>
  <c r="D7" i="1"/>
  <c r="C17" i="1" s="1"/>
  <c r="D5" i="1"/>
  <c r="C20" i="1" l="1"/>
  <c r="C22" i="1"/>
  <c r="B18" i="1"/>
  <c r="E42" i="1" l="1"/>
  <c r="C35" i="1" l="1"/>
  <c r="C11" i="1" l="1"/>
  <c r="C12" i="1"/>
  <c r="C24" i="1" s="1"/>
  <c r="B26" i="1" s="1"/>
  <c r="C40" i="1"/>
  <c r="C39" i="1"/>
</calcChain>
</file>

<file path=xl/sharedStrings.xml><?xml version="1.0" encoding="utf-8"?>
<sst xmlns="http://schemas.openxmlformats.org/spreadsheetml/2006/main" count="141" uniqueCount="73">
  <si>
    <t>z1</t>
  </si>
  <si>
    <t>z2</t>
  </si>
  <si>
    <t>z3</t>
  </si>
  <si>
    <t>z4</t>
  </si>
  <si>
    <t>B</t>
  </si>
  <si>
    <t>Kaq</t>
  </si>
  <si>
    <t>phi</t>
  </si>
  <si>
    <t>d</t>
  </si>
  <si>
    <r>
      <t>d.tan</t>
    </r>
    <r>
      <rPr>
        <sz val="11"/>
        <color theme="1"/>
        <rFont val="Symbol"/>
        <family val="1"/>
        <charset val="2"/>
      </rPr>
      <t></t>
    </r>
    <r>
      <rPr>
        <sz val="11"/>
        <color theme="1"/>
        <rFont val="Georgia"/>
        <family val="1"/>
      </rPr>
      <t xml:space="preserve"> </t>
    </r>
  </si>
  <si>
    <r>
      <t>d.tan(</t>
    </r>
    <r>
      <rPr>
        <sz val="11"/>
        <color theme="1"/>
        <rFont val="Symbol"/>
        <family val="1"/>
        <charset val="2"/>
      </rPr>
      <t></t>
    </r>
    <r>
      <rPr>
        <sz val="11"/>
        <color theme="1"/>
        <rFont val="Georgia"/>
        <family val="1"/>
      </rPr>
      <t>/4+</t>
    </r>
    <r>
      <rPr>
        <sz val="11"/>
        <color theme="1"/>
        <rFont val="Symbol"/>
        <family val="1"/>
        <charset val="2"/>
      </rPr>
      <t></t>
    </r>
    <r>
      <rPr>
        <sz val="11"/>
        <color theme="1"/>
        <rFont val="Georgia"/>
        <family val="1"/>
      </rPr>
      <t xml:space="preserve"> </t>
    </r>
  </si>
  <si>
    <r>
      <t>(d+B).tan</t>
    </r>
    <r>
      <rPr>
        <sz val="11"/>
        <color theme="1"/>
        <rFont val="Symbol"/>
        <family val="1"/>
        <charset val="2"/>
      </rPr>
      <t></t>
    </r>
    <r>
      <rPr>
        <sz val="11"/>
        <color theme="1"/>
        <rFont val="Georgia"/>
        <family val="1"/>
      </rPr>
      <t xml:space="preserve"> </t>
    </r>
  </si>
  <si>
    <r>
      <t>(d+B).tan(</t>
    </r>
    <r>
      <rPr>
        <sz val="11"/>
        <color theme="1"/>
        <rFont val="Symbol"/>
        <family val="1"/>
        <charset val="2"/>
      </rPr>
      <t></t>
    </r>
    <r>
      <rPr>
        <sz val="11"/>
        <color theme="1"/>
        <rFont val="Georgia"/>
        <family val="1"/>
      </rPr>
      <t>/4+</t>
    </r>
    <r>
      <rPr>
        <sz val="11"/>
        <color theme="1"/>
        <rFont val="Symbol"/>
        <family val="1"/>
        <charset val="2"/>
      </rPr>
      <t></t>
    </r>
    <r>
      <rPr>
        <sz val="11"/>
        <color theme="1"/>
        <rFont val="Georgia"/>
        <family val="1"/>
      </rPr>
      <t xml:space="preserve"> </t>
    </r>
  </si>
  <si>
    <t>z2 &gt;z3</t>
  </si>
  <si>
    <t>z'3</t>
  </si>
  <si>
    <t>si répartiton trapézoidale</t>
  </si>
  <si>
    <t>si répartiton triangulaire</t>
  </si>
  <si>
    <r>
      <rPr>
        <sz val="12"/>
        <color theme="1"/>
        <rFont val="Symbol"/>
        <family val="1"/>
        <charset val="2"/>
      </rPr>
      <t>s_</t>
    </r>
    <r>
      <rPr>
        <sz val="12"/>
        <color theme="1"/>
        <rFont val="Calibri"/>
        <family val="2"/>
        <scheme val="minor"/>
      </rPr>
      <t>max</t>
    </r>
  </si>
  <si>
    <t>q</t>
  </si>
  <si>
    <t>Kaq . q</t>
  </si>
  <si>
    <t>hauteur au-sessus de la nappe</t>
  </si>
  <si>
    <t>h'</t>
  </si>
  <si>
    <t xml:space="preserve">H </t>
  </si>
  <si>
    <r>
      <t>g</t>
    </r>
    <r>
      <rPr>
        <sz val="12"/>
        <color theme="1"/>
        <rFont val="Arabic Typesetting"/>
        <family val="4"/>
        <charset val="178"/>
      </rPr>
      <t>'</t>
    </r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</si>
  <si>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scheme val="minor"/>
      </rPr>
      <t>sat</t>
    </r>
  </si>
  <si>
    <t>c'</t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</si>
  <si>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a</t>
    </r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</si>
  <si>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charset val="2"/>
        <scheme val="minor"/>
      </rPr>
      <t>p</t>
    </r>
  </si>
  <si>
    <t>Action du sol sec</t>
  </si>
  <si>
    <t>Pa1</t>
  </si>
  <si>
    <t>Ka</t>
  </si>
  <si>
    <t>Pa2</t>
  </si>
  <si>
    <t>f'</t>
  </si>
  <si>
    <t>Pa3</t>
  </si>
  <si>
    <t>Kp</t>
  </si>
  <si>
    <t>Pb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</si>
  <si>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charset val="2"/>
        <scheme val="minor"/>
      </rPr>
      <t>w</t>
    </r>
  </si>
  <si>
    <t>Action de l'eau</t>
  </si>
  <si>
    <t>Pw1</t>
  </si>
  <si>
    <t>Pw2</t>
  </si>
  <si>
    <t>Action de la surcharge</t>
  </si>
  <si>
    <r>
      <t>KaQ = Kacos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charset val="2"/>
        <scheme val="minor"/>
      </rPr>
      <t>*1,1</t>
    </r>
  </si>
  <si>
    <t>Paq1</t>
  </si>
  <si>
    <t>Paq2</t>
  </si>
  <si>
    <t>Paq3</t>
  </si>
  <si>
    <t xml:space="preserve">dA1 = </t>
  </si>
  <si>
    <t xml:space="preserve">dA2 = </t>
  </si>
  <si>
    <t xml:space="preserve">dA3 = </t>
  </si>
  <si>
    <t xml:space="preserve">dB = </t>
  </si>
  <si>
    <t xml:space="preserve">dpw1 = </t>
  </si>
  <si>
    <t xml:space="preserve">dpw2 = </t>
  </si>
  <si>
    <t xml:space="preserve">daq1 = </t>
  </si>
  <si>
    <t xml:space="preserve">daq2 = </t>
  </si>
  <si>
    <t xml:space="preserve">daq3 = </t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</si>
  <si>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Moment = </t>
    </r>
  </si>
  <si>
    <t>z'3 retenu =</t>
  </si>
  <si>
    <r>
      <t>Kah = Kacos</t>
    </r>
    <r>
      <rPr>
        <sz val="12"/>
        <color theme="1"/>
        <rFont val="Symbol"/>
        <family val="1"/>
        <charset val="2"/>
      </rPr>
      <t>d</t>
    </r>
  </si>
  <si>
    <r>
      <t>s_</t>
    </r>
    <r>
      <rPr>
        <sz val="12"/>
        <color theme="1"/>
        <rFont val="Calibri (Corps)"/>
      </rPr>
      <t>max &gt; Kaq Q, il faut tronquer,</t>
    </r>
    <r>
      <rPr>
        <sz val="12"/>
        <color theme="1"/>
        <rFont val="Calibri"/>
        <family val="2"/>
        <scheme val="minor"/>
      </rPr>
      <t xml:space="preserve"> s_max &gt; Kaq . Q , la repartition triangulaire"</t>
    </r>
  </si>
  <si>
    <t>si z2 &gt; z3 : répartition triangulaire (qui peut etre tronquée)</t>
  </si>
  <si>
    <t>si z2 &lt; z3 : : répartition trapézoïdale</t>
  </si>
  <si>
    <t>Estimation de la fiche qui annule les moments/o</t>
  </si>
  <si>
    <t>Formule du moment</t>
  </si>
  <si>
    <t xml:space="preserve">Ta = </t>
  </si>
  <si>
    <t>g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</si>
  <si>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charset val="2"/>
        <scheme val="minor"/>
      </rPr>
      <t>am</t>
    </r>
    <r>
      <rPr>
        <sz val="12"/>
        <color theme="1"/>
        <rFont val="Calibri"/>
        <family val="1"/>
        <charset val="2"/>
        <scheme val="minor"/>
      </rPr>
      <t xml:space="preserve"> = </t>
    </r>
  </si>
  <si>
    <t xml:space="preserve">uwd = </t>
  </si>
  <si>
    <r>
      <t>D</t>
    </r>
    <r>
      <rPr>
        <sz val="11"/>
        <color theme="1"/>
        <rFont val="Georgia"/>
        <family val="1"/>
      </rPr>
      <t>h =</t>
    </r>
  </si>
  <si>
    <r>
      <rPr>
        <sz val="12"/>
        <color theme="1"/>
        <rFont val="Symbol"/>
        <family val="1"/>
        <charset val="2"/>
      </rPr>
      <t xml:space="preserve">r </t>
    </r>
    <r>
      <rPr>
        <sz val="12"/>
        <color theme="1"/>
        <rFont val="Calibri"/>
        <family val="2"/>
        <scheme val="minor"/>
      </rPr>
      <t xml:space="preserve">= </t>
    </r>
  </si>
  <si>
    <r>
      <t>D</t>
    </r>
    <r>
      <rPr>
        <sz val="11"/>
        <color theme="1"/>
        <rFont val="Georgia"/>
        <family val="1"/>
      </rPr>
      <t>hav =</t>
    </r>
  </si>
  <si>
    <r>
      <t>D</t>
    </r>
    <r>
      <rPr>
        <sz val="11"/>
        <color theme="1"/>
        <rFont val="Georgia"/>
        <family val="1"/>
      </rPr>
      <t>ham =</t>
    </r>
  </si>
  <si>
    <t xml:space="preserve">iav = </t>
  </si>
  <si>
    <t xml:space="preserve">iam = 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</si>
  <si>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charset val="2"/>
        <scheme val="minor"/>
      </rPr>
      <t>av</t>
    </r>
    <r>
      <rPr>
        <sz val="12"/>
        <color theme="1"/>
        <rFont val="Calibri"/>
        <family val="1"/>
        <charset val="2"/>
        <scheme val="minor"/>
      </rPr>
      <t xml:space="preserve"> = </t>
    </r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</si>
  <si>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Mm- </t>
    </r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Mr=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</si>
</sst>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8" formatCode="0.000"/>
  </numFmts>
  <fonts count="10">
    <font>
      <sz val="12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sz val="12"/>
      <color theme="1"/>
      <name val="Calibri"/>
      <family val="2"/>
      <charset val="2"/>
      <scheme val="minor"/>
    </font>
    <font>
      <sz val="12"/>
      <color theme="1"/>
      <name val="Arabic Typesetting"/>
      <family val="4"/>
      <charset val="178"/>
    </font>
    <font>
      <sz val="8"/>
      <name val="Calibri"/>
      <family val="2"/>
      <scheme val="minor"/>
    </font>
    <font>
      <sz val="12"/>
      <color theme="1"/>
      <name val="Calibri"/>
      <family val="1"/>
      <charset val="2"/>
      <scheme val="minor"/>
    </font>
    <font>
      <sz val="12"/>
      <color theme="1"/>
      <name val="Calibri (Corps)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7" xfId="0" applyFont="1" applyBorder="1"/>
    <xf numFmtId="2" fontId="0" fillId="0" borderId="2" xfId="0" applyNumberFormat="1" applyBorder="1"/>
    <xf numFmtId="0" fontId="1" fillId="0" borderId="0" xfId="0" applyFont="1"/>
    <xf numFmtId="2" fontId="0" fillId="0" borderId="4" xfId="0" applyNumberFormat="1" applyBorder="1"/>
    <xf numFmtId="0" fontId="1" fillId="0" borderId="8" xfId="0" applyFont="1" applyBorder="1"/>
    <xf numFmtId="2" fontId="0" fillId="0" borderId="6" xfId="0" applyNumberFormat="1" applyBorder="1"/>
    <xf numFmtId="0" fontId="0" fillId="0" borderId="0" xfId="0" applyAlignment="1">
      <alignment wrapText="1"/>
    </xf>
    <xf numFmtId="0" fontId="4" fillId="0" borderId="0" xfId="0" applyFont="1"/>
    <xf numFmtId="0" fontId="4" fillId="0" borderId="3" xfId="0" applyFont="1" applyBorder="1"/>
    <xf numFmtId="0" fontId="0" fillId="2" borderId="3" xfId="0" applyFill="1" applyBorder="1"/>
    <xf numFmtId="2" fontId="0" fillId="2" borderId="4" xfId="0" applyNumberFormat="1" applyFill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 applyAlignment="1">
      <alignment wrapText="1"/>
    </xf>
    <xf numFmtId="0" fontId="0" fillId="0" borderId="3" xfId="0" applyFill="1" applyBorder="1"/>
    <xf numFmtId="2" fontId="0" fillId="0" borderId="4" xfId="0" applyNumberFormat="1" applyFill="1" applyBorder="1"/>
    <xf numFmtId="0" fontId="0" fillId="0" borderId="0" xfId="0" applyFill="1" applyAlignment="1">
      <alignment wrapText="1"/>
    </xf>
    <xf numFmtId="0" fontId="4" fillId="0" borderId="1" xfId="0" applyFont="1" applyFill="1" applyBorder="1"/>
    <xf numFmtId="0" fontId="0" fillId="0" borderId="2" xfId="0" applyFill="1" applyBorder="1"/>
    <xf numFmtId="0" fontId="4" fillId="2" borderId="3" xfId="0" applyFont="1" applyFill="1" applyBorder="1"/>
    <xf numFmtId="0" fontId="3" fillId="0" borderId="3" xfId="0" applyFont="1" applyBorder="1"/>
    <xf numFmtId="0" fontId="4" fillId="0" borderId="5" xfId="0" applyFont="1" applyBorder="1"/>
    <xf numFmtId="0" fontId="0" fillId="0" borderId="6" xfId="0" applyBorder="1"/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4" xfId="0" applyNumberFormat="1" applyBorder="1"/>
    <xf numFmtId="0" fontId="4" fillId="2" borderId="1" xfId="0" applyFon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/>
    <xf numFmtId="0" fontId="0" fillId="0" borderId="8" xfId="0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0" fillId="0" borderId="0" xfId="0" applyNumberFormat="1" applyBorder="1"/>
    <xf numFmtId="0" fontId="4" fillId="0" borderId="0" xfId="0" applyFont="1" applyBorder="1"/>
    <xf numFmtId="0" fontId="7" fillId="0" borderId="0" xfId="0" applyFont="1" applyBorder="1"/>
    <xf numFmtId="164" fontId="0" fillId="0" borderId="0" xfId="0" applyNumberFormat="1" applyBorder="1"/>
    <xf numFmtId="0" fontId="4" fillId="0" borderId="0" xfId="0" applyFont="1" applyFill="1" applyBorder="1"/>
    <xf numFmtId="0" fontId="0" fillId="0" borderId="0" xfId="0" applyFill="1" applyBorder="1"/>
    <xf numFmtId="0" fontId="4" fillId="3" borderId="0" xfId="0" applyFont="1" applyFill="1" applyAlignment="1">
      <alignment horizontal="right"/>
    </xf>
    <xf numFmtId="2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right"/>
    </xf>
    <xf numFmtId="0" fontId="7" fillId="4" borderId="3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168" fontId="0" fillId="0" borderId="0" xfId="0" applyNumberFormat="1"/>
    <xf numFmtId="0" fontId="4" fillId="0" borderId="0" xfId="0" applyFont="1" applyFill="1" applyAlignment="1">
      <alignment horizontal="right"/>
    </xf>
    <xf numFmtId="2" fontId="0" fillId="0" borderId="0" xfId="0" applyNumberFormat="1" applyFill="1"/>
    <xf numFmtId="2" fontId="9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wmf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645694</xdr:colOff>
      <xdr:row>12</xdr:row>
      <xdr:rowOff>88995</xdr:rowOff>
    </xdr:from>
    <xdr:to>
      <xdr:col>9</xdr:col>
      <xdr:colOff>711550</xdr:colOff>
      <xdr:row>16</xdr:row>
      <xdr:rowOff>149249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DDAFC5-D3DD-0408-E7D8-4FCE8FF33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2686" y="2390273"/>
          <a:ext cx="2529465" cy="1091532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0</xdr:row>
      <xdr:rowOff>0</xdr:rowOff>
    </xdr:from>
    <xdr:to>
      <xdr:col>14</xdr:col>
      <xdr:colOff>76199</xdr:colOff>
      <xdr:row>31</xdr:row>
      <xdr:rowOff>25304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5903A58-3B75-06FF-37B1-8821CE67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0"/>
          <a:ext cx="3340100" cy="72263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26</xdr:row>
      <xdr:rowOff>25400</xdr:rowOff>
    </xdr:from>
    <xdr:to>
      <xdr:col>9</xdr:col>
      <xdr:colOff>800100</xdr:colOff>
      <xdr:row>26</xdr:row>
      <xdr:rowOff>25400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C62992D9-2DDD-CFE4-BB16-8C8B7DA25EAC}"/>
            </a:ext>
          </a:extLst>
        </xdr:cNvPr>
        <xdr:cNvCxnSpPr/>
      </xdr:nvCxnSpPr>
      <xdr:spPr>
        <a:xfrm flipV="1">
          <a:off x="3517900" y="5461000"/>
          <a:ext cx="5600700" cy="0"/>
        </a:xfrm>
        <a:prstGeom prst="straightConnector1">
          <a:avLst/>
        </a:prstGeom>
        <a:ln w="66675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266700</xdr:colOff>
      <xdr:row>18</xdr:row>
      <xdr:rowOff>173474</xdr:rowOff>
    </xdr:from>
    <xdr:to>
      <xdr:col>8</xdr:col>
      <xdr:colOff>614280</xdr:colOff>
      <xdr:row>25</xdr:row>
      <xdr:rowOff>190499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FDD6535-0FF8-BFD0-56C4-36D4D5B57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5500" y="3704074"/>
          <a:ext cx="4699000" cy="1909326"/>
        </a:xfrm>
        <a:prstGeom prst="rect">
          <a:avLst/>
        </a:prstGeom>
      </xdr:spPr>
    </xdr:pic>
    <xdr:clientData/>
  </xdr:twoCellAnchor>
  <xdr:twoCellAnchor editAs="oneCell">
    <xdr:from>
      <xdr:col>9</xdr:col>
      <xdr:colOff>735263</xdr:colOff>
      <xdr:row>42</xdr:row>
      <xdr:rowOff>50784</xdr:rowOff>
    </xdr:from>
    <xdr:to>
      <xdr:col>15</xdr:col>
      <xdr:colOff>526811</xdr:colOff>
      <xdr:row>56</xdr:row>
      <xdr:rowOff>182000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970B06-C137-A731-59AC-B53F7DA2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90489" y="8797551"/>
          <a:ext cx="4661472" cy="2881291"/>
        </a:xfrm>
        <a:prstGeom prst="rect">
          <a:avLst/>
        </a:prstGeom>
      </xdr:spPr>
    </xdr:pic>
    <xdr:clientData/>
  </xdr:twoCellAnchor>
  <xdr:twoCellAnchor editAs="oneCell">
    <xdr:from>
      <xdr:col>3</xdr:col>
      <xdr:colOff>286467</xdr:colOff>
      <xdr:row>32</xdr:row>
      <xdr:rowOff>114587</xdr:rowOff>
    </xdr:from>
    <xdr:to>
      <xdr:col>12</xdr:col>
      <xdr:colOff>448415</xdr:colOff>
      <xdr:row>38</xdr:row>
      <xdr:rowOff>166692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41A5FAE-2119-F8F1-2D05-4B7B0D46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37820" y="7257143"/>
          <a:ext cx="7772400" cy="1274361"/>
        </a:xfrm>
        <a:prstGeom prst="rect">
          <a:avLst/>
        </a:prstGeom>
      </xdr:spPr>
    </xdr:pic>
    <xdr:clientData/>
  </xdr:twoCellAnchor>
  <xdr:twoCellAnchor editAs="oneCell">
    <xdr:from>
      <xdr:col>6</xdr:col>
      <xdr:colOff>477444</xdr:colOff>
      <xdr:row>36</xdr:row>
      <xdr:rowOff>38196</xdr:rowOff>
    </xdr:from>
    <xdr:to>
      <xdr:col>15</xdr:col>
      <xdr:colOff>122416</xdr:colOff>
      <xdr:row>41</xdr:row>
      <xdr:rowOff>254669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AF1AD91-8A15-7B47-8FE1-3457A6FF1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2406" y="7982858"/>
          <a:ext cx="7035800" cy="1257300"/>
        </a:xfrm>
        <a:prstGeom prst="rect">
          <a:avLst/>
        </a:prstGeom>
      </xdr:spPr>
    </xdr:pic>
    <xdr:clientData/>
  </xdr:twoCellAnchor>
  <xdr:twoCellAnchor editAs="oneCell">
    <xdr:from>
      <xdr:col>6</xdr:col>
      <xdr:colOff>47746</xdr:colOff>
      <xdr:row>44</xdr:row>
      <xdr:rowOff>14321</xdr:rowOff>
    </xdr:from>
    <xdr:to>
      <xdr:col>9</xdr:col>
      <xdr:colOff>52636</xdr:colOff>
      <xdr:row>54</xdr:row>
      <xdr:rowOff>106039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271A0C-3962-4998-A3A9-5AE776DD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68009" y="9152592"/>
          <a:ext cx="2439853" cy="20492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645694</xdr:colOff>
      <xdr:row>12</xdr:row>
      <xdr:rowOff>88995</xdr:rowOff>
    </xdr:from>
    <xdr:to>
      <xdr:col>9</xdr:col>
      <xdr:colOff>711550</xdr:colOff>
      <xdr:row>17</xdr:row>
      <xdr:rowOff>149249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3A952D2-8403-453F-B167-0A024C26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7294" y="2482945"/>
          <a:ext cx="2504256" cy="104450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0</xdr:row>
      <xdr:rowOff>6350</xdr:rowOff>
    </xdr:from>
    <xdr:to>
      <xdr:col>14</xdr:col>
      <xdr:colOff>57149</xdr:colOff>
      <xdr:row>32</xdr:row>
      <xdr:rowOff>139604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1DF9BA1-0401-487A-A0A5-1ECB46EFD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1850" y="6350"/>
          <a:ext cx="3289299" cy="6686454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26</xdr:row>
      <xdr:rowOff>25400</xdr:rowOff>
    </xdr:from>
    <xdr:to>
      <xdr:col>9</xdr:col>
      <xdr:colOff>800100</xdr:colOff>
      <xdr:row>26</xdr:row>
      <xdr:rowOff>25400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27990D92-FF9B-4D69-82D6-1DD480D16945}"/>
            </a:ext>
          </a:extLst>
        </xdr:cNvPr>
        <xdr:cNvCxnSpPr/>
      </xdr:nvCxnSpPr>
      <xdr:spPr>
        <a:xfrm flipV="1">
          <a:off x="5207000" y="5391150"/>
          <a:ext cx="5753100" cy="0"/>
        </a:xfrm>
        <a:prstGeom prst="straightConnector1">
          <a:avLst/>
        </a:prstGeom>
        <a:ln w="66675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266700</xdr:colOff>
      <xdr:row>18</xdr:row>
      <xdr:rowOff>173474</xdr:rowOff>
    </xdr:from>
    <xdr:to>
      <xdr:col>8</xdr:col>
      <xdr:colOff>614280</xdr:colOff>
      <xdr:row>25</xdr:row>
      <xdr:rowOff>196849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91126D5-DF17-4D7A-84AB-C74605F56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1300" y="3951724"/>
          <a:ext cx="4640180" cy="1401325"/>
        </a:xfrm>
        <a:prstGeom prst="rect">
          <a:avLst/>
        </a:prstGeom>
      </xdr:spPr>
    </xdr:pic>
    <xdr:clientData/>
  </xdr:twoCellAnchor>
  <xdr:twoCellAnchor editAs="oneCell">
    <xdr:from>
      <xdr:col>6</xdr:col>
      <xdr:colOff>85846</xdr:colOff>
      <xdr:row>43</xdr:row>
      <xdr:rowOff>65121</xdr:rowOff>
    </xdr:from>
    <xdr:to>
      <xdr:col>9</xdr:col>
      <xdr:colOff>90736</xdr:colOff>
      <xdr:row>53</xdr:row>
      <xdr:rowOff>156839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9798EE7-88BA-4DE0-BA07-2AE0AF11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7446" y="9018621"/>
          <a:ext cx="2443290" cy="206021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114300</xdr:colOff>
      <xdr:row>31</xdr:row>
      <xdr:rowOff>82550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A06E073-59C2-44B5-B479-151470F535B2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765800"/>
          <a:ext cx="1739900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6E0C0-1D66-744D-A31A-CAF5BDA4D5C0}">
  <dimension ref="A1:K92"/>
  <sheetViews>
    <sheetView topLeftCell="A40" zoomScale="133" workbookViewId="0">
      <selection sqref="A1:XFD1048576"/>
    </sheetView>
  </sheetViews>
  <sheetFormatPr baseColWidth="10" defaultRowHeight="15.5"/>
  <cols>
    <col min="1" max="1" width="31.5" customWidth="1"/>
    <col min="2" max="2" width="18" customWidth="1"/>
    <col min="3" max="3" width="16.83203125" bestFit="1" customWidth="1"/>
    <col min="5" max="5" width="13.6640625" customWidth="1"/>
  </cols>
  <sheetData>
    <row r="1" spans="1:7" ht="16" thickBot="1">
      <c r="B1" t="s">
        <v>17</v>
      </c>
      <c r="C1">
        <v>15</v>
      </c>
    </row>
    <row r="2" spans="1:7">
      <c r="B2" s="2" t="s">
        <v>7</v>
      </c>
      <c r="C2" s="3">
        <v>2</v>
      </c>
    </row>
    <row r="3" spans="1:7">
      <c r="B3" s="4" t="s">
        <v>6</v>
      </c>
      <c r="C3" s="5">
        <v>30</v>
      </c>
    </row>
    <row r="4" spans="1:7" ht="16" thickBot="1">
      <c r="B4" s="4" t="s">
        <v>4</v>
      </c>
      <c r="C4" s="5">
        <v>2</v>
      </c>
    </row>
    <row r="5" spans="1:7">
      <c r="B5" s="2" t="s">
        <v>0</v>
      </c>
      <c r="C5" s="7" t="s">
        <v>8</v>
      </c>
      <c r="D5" s="8">
        <f>$C$2*TAN($C$3*PI()/180)</f>
        <v>1.1547005383792515</v>
      </c>
    </row>
    <row r="6" spans="1:7">
      <c r="B6" s="4" t="s">
        <v>1</v>
      </c>
      <c r="C6" s="9" t="s">
        <v>9</v>
      </c>
      <c r="D6" s="10">
        <f>$C$2*TAN(($C$3/2+45)*PI()/180)</f>
        <v>3.4641016151377535</v>
      </c>
    </row>
    <row r="7" spans="1:7">
      <c r="B7" s="4" t="s">
        <v>2</v>
      </c>
      <c r="C7" s="9" t="s">
        <v>10</v>
      </c>
      <c r="D7" s="10">
        <f>($C$2+$C$4)*TAN($C$3*PI()/180)</f>
        <v>2.3094010767585029</v>
      </c>
    </row>
    <row r="8" spans="1:7" ht="16" thickBot="1">
      <c r="B8" s="6" t="s">
        <v>3</v>
      </c>
      <c r="C8" s="11" t="s">
        <v>11</v>
      </c>
      <c r="D8" s="12">
        <f>($C$2+$C$4)*TAN(($C$3/2+45)*PI()/180)</f>
        <v>6.928203230275507</v>
      </c>
    </row>
    <row r="9" spans="1:7" ht="16" thickBot="1">
      <c r="B9" s="43" t="s">
        <v>12</v>
      </c>
      <c r="C9" s="44"/>
      <c r="D9" s="45"/>
      <c r="G9" t="s">
        <v>56</v>
      </c>
    </row>
    <row r="10" spans="1:7">
      <c r="B10" s="20" t="s">
        <v>5</v>
      </c>
      <c r="C10" s="21">
        <v>0.3</v>
      </c>
      <c r="D10" s="19"/>
    </row>
    <row r="11" spans="1:7">
      <c r="B11" s="14" t="s">
        <v>55</v>
      </c>
      <c r="C11" s="1">
        <f>$C$35*COS($C$36*PI()/180)</f>
        <v>0.28190778623577251</v>
      </c>
      <c r="D11" s="19"/>
    </row>
    <row r="12" spans="1:7" ht="16" thickBot="1">
      <c r="B12" s="14" t="s">
        <v>40</v>
      </c>
      <c r="C12" s="1">
        <f>$C$35*COS($C$36*PI()/180)*1.1</f>
        <v>0.31009856485934978</v>
      </c>
    </row>
    <row r="13" spans="1:7">
      <c r="B13" s="2"/>
      <c r="C13" s="3"/>
    </row>
    <row r="14" spans="1:7" ht="31">
      <c r="A14" s="25" t="s">
        <v>57</v>
      </c>
      <c r="B14" s="23" t="s">
        <v>13</v>
      </c>
      <c r="C14" s="24">
        <f>2*$C$4/$C$12*TAN(PI()/4-$C$3/2*PI()/180)+$D$5+$D$6-$D$8</f>
        <v>5.137911934206155</v>
      </c>
    </row>
    <row r="15" spans="1:7">
      <c r="B15" s="4"/>
      <c r="C15" s="10"/>
    </row>
    <row r="16" spans="1:7">
      <c r="B16" s="4"/>
      <c r="C16" s="10"/>
    </row>
    <row r="17" spans="1:3">
      <c r="A17" t="s">
        <v>58</v>
      </c>
      <c r="B17" s="4" t="s">
        <v>13</v>
      </c>
      <c r="C17" s="10">
        <f>2*$C$4/$C$12*TAN(PI()/4-$C$3/2*PI()/180)+$D$5+$D$7-$D$8</f>
        <v>3.9832113958269044</v>
      </c>
    </row>
    <row r="18" spans="1:3" ht="16" thickBot="1">
      <c r="A18" t="s">
        <v>54</v>
      </c>
      <c r="B18" s="46">
        <f>IF($D$6&gt;$D$7,C14,C17)</f>
        <v>5.137911934206155</v>
      </c>
      <c r="C18" s="47"/>
    </row>
    <row r="19" spans="1:3" ht="16" thickBot="1"/>
    <row r="20" spans="1:3">
      <c r="A20" s="25" t="s">
        <v>14</v>
      </c>
      <c r="B20" s="26" t="s">
        <v>16</v>
      </c>
      <c r="C20" s="27">
        <f>2*$C$4*$C$1/($D$7+$D$8-$D$5-$D$6)*TAN(PI()/4-$C$3/2*PI()/180)</f>
        <v>7.5000000000000009</v>
      </c>
    </row>
    <row r="21" spans="1:3">
      <c r="A21" s="13"/>
      <c r="B21" s="15"/>
      <c r="C21" s="5"/>
    </row>
    <row r="22" spans="1:3">
      <c r="A22" s="22" t="s">
        <v>15</v>
      </c>
      <c r="B22" s="28" t="s">
        <v>16</v>
      </c>
      <c r="C22" s="17">
        <f>2*$C$4*$C$1/($D$8-$D$5)*TAN(PI()/4-$C$3/2*PI()/180)</f>
        <v>6.0000000000000027</v>
      </c>
    </row>
    <row r="23" spans="1:3">
      <c r="B23" s="4"/>
      <c r="C23" s="5"/>
    </row>
    <row r="24" spans="1:3">
      <c r="B24" s="16" t="s">
        <v>18</v>
      </c>
      <c r="C24" s="17">
        <f>C12*C1</f>
        <v>4.651478472890247</v>
      </c>
    </row>
    <row r="25" spans="1:3">
      <c r="B25" s="4"/>
      <c r="C25" s="5"/>
    </row>
    <row r="26" spans="1:3" ht="16" thickBot="1">
      <c r="B26" s="48" t="str">
        <f>IF($C$22&gt;$C$24, "s_max &gt; Kaq Q, il faut tronquer à Kaq.q", "s_max &lt; Kaq . Q , la repartition triangulaire")</f>
        <v>s_max &gt; Kaq Q, il faut tronquer à Kaq.q</v>
      </c>
      <c r="C26" s="49"/>
    </row>
    <row r="28" spans="1:3" ht="16" thickBot="1"/>
    <row r="29" spans="1:3">
      <c r="A29" s="13" t="s">
        <v>19</v>
      </c>
      <c r="B29" s="2" t="s">
        <v>20</v>
      </c>
      <c r="C29" s="3">
        <v>1</v>
      </c>
    </row>
    <row r="30" spans="1:3">
      <c r="B30" s="4" t="s">
        <v>21</v>
      </c>
      <c r="C30" s="5">
        <v>4</v>
      </c>
    </row>
    <row r="31" spans="1:3" ht="17.5">
      <c r="A31" s="18"/>
      <c r="B31" s="29" t="s">
        <v>22</v>
      </c>
      <c r="C31" s="5">
        <v>18</v>
      </c>
    </row>
    <row r="32" spans="1:3">
      <c r="B32" s="15" t="s">
        <v>23</v>
      </c>
      <c r="C32" s="5">
        <v>19</v>
      </c>
    </row>
    <row r="33" spans="1:7">
      <c r="B33" s="15" t="s">
        <v>35</v>
      </c>
      <c r="C33" s="5">
        <v>10</v>
      </c>
    </row>
    <row r="34" spans="1:7">
      <c r="B34" s="4" t="s">
        <v>24</v>
      </c>
      <c r="C34" s="5">
        <v>0</v>
      </c>
    </row>
    <row r="35" spans="1:7">
      <c r="B35" s="4" t="s">
        <v>29</v>
      </c>
      <c r="C35" s="5">
        <f>C10</f>
        <v>0.3</v>
      </c>
    </row>
    <row r="36" spans="1:7">
      <c r="B36" s="15" t="s">
        <v>25</v>
      </c>
      <c r="C36" s="5">
        <v>20</v>
      </c>
    </row>
    <row r="37" spans="1:7">
      <c r="B37" s="15" t="s">
        <v>26</v>
      </c>
      <c r="C37" s="5">
        <v>-10</v>
      </c>
    </row>
    <row r="38" spans="1:7" ht="16" thickBot="1">
      <c r="B38" s="30" t="s">
        <v>33</v>
      </c>
      <c r="C38" s="31">
        <v>2.1</v>
      </c>
    </row>
    <row r="39" spans="1:7">
      <c r="B39" s="14" t="s">
        <v>55</v>
      </c>
      <c r="C39" s="1">
        <f>$C$35*COS($C$36*PI()/180)</f>
        <v>0.28190778623577251</v>
      </c>
    </row>
    <row r="40" spans="1:7">
      <c r="B40" s="14" t="s">
        <v>40</v>
      </c>
      <c r="C40" s="1">
        <f>$C$35*COS($C$36*PI()/180)*1.1</f>
        <v>0.31009856485934978</v>
      </c>
    </row>
    <row r="41" spans="1:7" ht="16" thickBot="1">
      <c r="B41" s="32"/>
      <c r="C41" s="33"/>
      <c r="D41" s="34"/>
      <c r="E41" s="34"/>
      <c r="F41" s="34"/>
      <c r="G41" t="s">
        <v>60</v>
      </c>
    </row>
    <row r="42" spans="1:7" ht="31">
      <c r="A42" s="13" t="s">
        <v>59</v>
      </c>
      <c r="B42" s="36" t="s">
        <v>31</v>
      </c>
      <c r="C42" s="37">
        <v>5.0999999999999996</v>
      </c>
      <c r="D42" s="38" t="s">
        <v>53</v>
      </c>
      <c r="E42" s="39">
        <f>C44*F44+C45*F45+C46*F46+C49*F49+C53*F53+C54*F54+C55*F55-C47*F47-C50*F50</f>
        <v>-1.9130774591673116</v>
      </c>
      <c r="F42" s="40"/>
      <c r="G42" s="34"/>
    </row>
    <row r="43" spans="1:7">
      <c r="B43" s="4"/>
      <c r="C43" s="10"/>
      <c r="D43" s="4"/>
      <c r="E43" s="41"/>
      <c r="F43" s="5"/>
    </row>
    <row r="44" spans="1:7">
      <c r="A44" t="s">
        <v>27</v>
      </c>
      <c r="B44" s="15" t="s">
        <v>28</v>
      </c>
      <c r="C44" s="10">
        <f>$C$35*COS($C$36*PI()/180)*$C$31*$C$29*$C$29/2</f>
        <v>2.5371700761219524</v>
      </c>
      <c r="D44" s="4"/>
      <c r="E44" s="41" t="s">
        <v>44</v>
      </c>
      <c r="F44" s="10">
        <f>0.16</f>
        <v>0.16</v>
      </c>
    </row>
    <row r="45" spans="1:7">
      <c r="B45" s="15" t="s">
        <v>30</v>
      </c>
      <c r="C45" s="10">
        <f>$C$35*COS($C$36*PI()/180)*$C$31*$C$29*($C$30-$C$29+$C$42)/2</f>
        <v>20.551077616587815</v>
      </c>
      <c r="D45" s="4"/>
      <c r="E45" s="41" t="s">
        <v>45</v>
      </c>
      <c r="F45" s="35">
        <f>0.5+((C42+3)/2)</f>
        <v>4.55</v>
      </c>
    </row>
    <row r="46" spans="1:7">
      <c r="B46" s="15" t="s">
        <v>32</v>
      </c>
      <c r="C46" s="10">
        <f>$C$35*COS($C$36*PI()/180)*($C$32-$C$33)*($C$30-$C$29+$C$42)^2/2</f>
        <v>83.231864347180647</v>
      </c>
      <c r="D46" s="4"/>
      <c r="E46" s="41" t="s">
        <v>46</v>
      </c>
      <c r="F46" s="10">
        <f>0.5+((2/3)*(C42+3))</f>
        <v>5.8999999999999995</v>
      </c>
    </row>
    <row r="47" spans="1:7">
      <c r="B47" s="15" t="s">
        <v>34</v>
      </c>
      <c r="C47" s="10">
        <f>$C$38*($C$32-$C$33)*$C$42^2/2</f>
        <v>245.7945</v>
      </c>
      <c r="D47" s="4"/>
      <c r="E47" s="41" t="s">
        <v>47</v>
      </c>
      <c r="F47" s="10">
        <f>0.5+3+(2*C42/3)</f>
        <v>6.9</v>
      </c>
    </row>
    <row r="48" spans="1:7">
      <c r="B48" s="4"/>
      <c r="C48" s="10"/>
      <c r="D48" s="4"/>
      <c r="E48" s="41"/>
      <c r="F48" s="5"/>
    </row>
    <row r="49" spans="1:11">
      <c r="A49" t="s">
        <v>36</v>
      </c>
      <c r="B49" s="15" t="s">
        <v>37</v>
      </c>
      <c r="C49" s="10">
        <f>$C$33*($C$30-$C$29+$C$42)^2/2</f>
        <v>328.05</v>
      </c>
      <c r="D49" s="4"/>
      <c r="E49" s="41" t="s">
        <v>48</v>
      </c>
      <c r="F49" s="10">
        <f>F46</f>
        <v>5.8999999999999995</v>
      </c>
    </row>
    <row r="50" spans="1:11">
      <c r="B50" s="15" t="s">
        <v>38</v>
      </c>
      <c r="C50" s="10">
        <f>$C$33*$C$42^2/2</f>
        <v>130.04999999999998</v>
      </c>
      <c r="D50" s="4"/>
      <c r="E50" s="41" t="s">
        <v>49</v>
      </c>
      <c r="F50" s="10">
        <f>F47</f>
        <v>6.9</v>
      </c>
    </row>
    <row r="51" spans="1:11">
      <c r="B51" s="15"/>
      <c r="C51" s="10"/>
      <c r="D51" s="4"/>
      <c r="E51" s="41"/>
      <c r="F51" s="5"/>
    </row>
    <row r="52" spans="1:11">
      <c r="B52" s="15" t="s">
        <v>17</v>
      </c>
      <c r="C52" s="10">
        <f>$C$1</f>
        <v>15</v>
      </c>
      <c r="D52" s="4"/>
      <c r="E52" s="41"/>
      <c r="F52" s="5"/>
    </row>
    <row r="53" spans="1:11">
      <c r="A53" t="s">
        <v>39</v>
      </c>
      <c r="B53" s="15" t="s">
        <v>41</v>
      </c>
      <c r="C53">
        <v>2.7</v>
      </c>
      <c r="D53" s="4"/>
      <c r="E53" s="41" t="s">
        <v>50</v>
      </c>
      <c r="F53" s="10">
        <f>((2/3)*(D7-D5))+(D5-0.5)</f>
        <v>1.4245008972987523</v>
      </c>
    </row>
    <row r="54" spans="1:11">
      <c r="B54" s="15" t="s">
        <v>42</v>
      </c>
      <c r="C54">
        <v>14.3</v>
      </c>
      <c r="D54" s="4"/>
      <c r="E54" s="41" t="s">
        <v>51</v>
      </c>
      <c r="F54" s="10">
        <f>((B18-D7)/2)+(D7-0.5)</f>
        <v>3.223656505482329</v>
      </c>
    </row>
    <row r="55" spans="1:11" ht="16" thickBot="1">
      <c r="B55" s="30" t="s">
        <v>43</v>
      </c>
      <c r="C55">
        <v>3.6</v>
      </c>
      <c r="D55" s="6"/>
      <c r="E55" s="42" t="s">
        <v>52</v>
      </c>
      <c r="F55" s="12">
        <f>(B18-0.5)+((2/3)*(D8-B18))</f>
        <v>5.8314394649190557</v>
      </c>
    </row>
    <row r="56" spans="1:11">
      <c r="B56" s="14"/>
      <c r="C56" s="1"/>
    </row>
    <row r="57" spans="1:11">
      <c r="B57" s="14"/>
      <c r="C57" s="1"/>
    </row>
    <row r="58" spans="1:11">
      <c r="B58" s="56" t="s">
        <v>61</v>
      </c>
      <c r="C58" s="57">
        <f>C44+C45+C46+C49+C53+C54+C55-C50-C47</f>
        <v>79.125612039890456</v>
      </c>
    </row>
    <row r="59" spans="1:11">
      <c r="B59" s="14"/>
      <c r="C59" s="1"/>
    </row>
    <row r="60" spans="1:11">
      <c r="B60" s="14"/>
      <c r="C60" s="1"/>
    </row>
    <row r="61" spans="1:11">
      <c r="B61" s="14"/>
    </row>
    <row r="62" spans="1:11">
      <c r="B62" s="51"/>
      <c r="C62" s="41"/>
      <c r="D62" s="41"/>
      <c r="E62" s="41"/>
      <c r="F62" s="41"/>
      <c r="G62" s="41"/>
      <c r="H62" s="41"/>
      <c r="I62" s="41"/>
      <c r="J62" s="41"/>
      <c r="K62" s="41"/>
    </row>
    <row r="63" spans="1:11">
      <c r="B63" s="54"/>
      <c r="C63" s="55"/>
      <c r="D63" s="41"/>
      <c r="E63" s="52"/>
      <c r="F63" s="41"/>
      <c r="G63" s="41"/>
      <c r="H63" s="41"/>
      <c r="I63" s="41"/>
      <c r="J63" s="41"/>
      <c r="K63" s="41"/>
    </row>
    <row r="64" spans="1:11"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2:11">
      <c r="B65" s="51"/>
      <c r="C65" s="50"/>
      <c r="D65" s="41"/>
      <c r="E65" s="41"/>
      <c r="F65" s="50"/>
      <c r="G65" s="41"/>
      <c r="H65" s="41"/>
      <c r="I65" s="41"/>
      <c r="J65" s="41"/>
      <c r="K65" s="41"/>
    </row>
    <row r="66" spans="2:11">
      <c r="B66" s="51"/>
      <c r="C66" s="50"/>
      <c r="D66" s="41"/>
      <c r="E66" s="41"/>
      <c r="F66" s="53"/>
      <c r="G66" s="41"/>
      <c r="H66" s="41"/>
      <c r="I66" s="41"/>
      <c r="J66" s="41"/>
      <c r="K66" s="41"/>
    </row>
    <row r="67" spans="2:11">
      <c r="B67" s="51"/>
      <c r="C67" s="50"/>
      <c r="D67" s="41"/>
      <c r="E67" s="41"/>
      <c r="F67" s="50"/>
      <c r="G67" s="41"/>
      <c r="H67" s="41"/>
      <c r="I67" s="41"/>
      <c r="J67" s="41"/>
      <c r="K67" s="41"/>
    </row>
    <row r="68" spans="2:11">
      <c r="B68" s="51"/>
      <c r="C68" s="50"/>
      <c r="D68" s="41"/>
      <c r="E68" s="41"/>
      <c r="F68" s="50"/>
      <c r="G68" s="41"/>
      <c r="H68" s="41"/>
      <c r="I68" s="41"/>
      <c r="J68" s="41"/>
      <c r="K68" s="41"/>
    </row>
    <row r="69" spans="2:11">
      <c r="B69" s="41"/>
      <c r="C69" s="50"/>
      <c r="D69" s="41"/>
      <c r="E69" s="41"/>
      <c r="F69" s="41"/>
      <c r="G69" s="41"/>
      <c r="H69" s="41"/>
      <c r="I69" s="41"/>
      <c r="J69" s="41"/>
      <c r="K69" s="41"/>
    </row>
    <row r="70" spans="2:11">
      <c r="B70" s="51"/>
      <c r="C70" s="50"/>
      <c r="D70" s="41"/>
      <c r="E70" s="41"/>
      <c r="F70" s="50"/>
      <c r="G70" s="41"/>
      <c r="H70" s="41"/>
      <c r="I70" s="41"/>
      <c r="J70" s="41"/>
      <c r="K70" s="41"/>
    </row>
    <row r="71" spans="2:11">
      <c r="B71" s="51"/>
      <c r="C71" s="50"/>
      <c r="D71" s="41"/>
      <c r="E71" s="41"/>
      <c r="F71" s="50"/>
      <c r="G71" s="41"/>
      <c r="H71" s="41"/>
      <c r="I71" s="41"/>
      <c r="J71" s="41"/>
      <c r="K71" s="41"/>
    </row>
    <row r="72" spans="2:11">
      <c r="B72" s="51"/>
      <c r="C72" s="50"/>
      <c r="D72" s="41"/>
      <c r="E72" s="41"/>
      <c r="F72" s="41"/>
      <c r="G72" s="41"/>
      <c r="H72" s="41"/>
      <c r="I72" s="41"/>
      <c r="J72" s="41"/>
      <c r="K72" s="41"/>
    </row>
    <row r="73" spans="2:11">
      <c r="B73" s="51"/>
      <c r="C73" s="50"/>
      <c r="D73" s="41"/>
      <c r="E73" s="41"/>
      <c r="F73" s="41"/>
      <c r="G73" s="41"/>
      <c r="H73" s="41"/>
      <c r="I73" s="41"/>
      <c r="J73" s="41"/>
      <c r="K73" s="41"/>
    </row>
    <row r="74" spans="2:11">
      <c r="B74" s="51"/>
      <c r="C74" s="50"/>
      <c r="D74" s="41"/>
      <c r="E74" s="41"/>
      <c r="F74" s="50"/>
      <c r="G74" s="41"/>
      <c r="H74" s="41"/>
      <c r="I74" s="41"/>
      <c r="J74" s="41"/>
      <c r="K74" s="41"/>
    </row>
    <row r="75" spans="2:11">
      <c r="B75" s="51"/>
      <c r="C75" s="50"/>
      <c r="D75" s="41"/>
      <c r="E75" s="41"/>
      <c r="F75" s="50"/>
      <c r="G75" s="41"/>
      <c r="H75" s="41"/>
      <c r="I75" s="41"/>
      <c r="J75" s="41"/>
      <c r="K75" s="41"/>
    </row>
    <row r="76" spans="2:11">
      <c r="B76" s="51"/>
      <c r="C76" s="50"/>
      <c r="D76" s="41"/>
      <c r="E76" s="41"/>
      <c r="F76" s="50"/>
      <c r="G76" s="41"/>
      <c r="H76" s="41"/>
      <c r="I76" s="41"/>
      <c r="J76" s="41"/>
      <c r="K76" s="41"/>
    </row>
    <row r="77" spans="2:11">
      <c r="B77" s="41"/>
      <c r="C77" s="50"/>
      <c r="D77" s="41"/>
      <c r="E77" s="41"/>
      <c r="F77" s="41"/>
      <c r="G77" s="41"/>
      <c r="H77" s="41"/>
      <c r="I77" s="41"/>
      <c r="J77" s="41"/>
      <c r="K77" s="41"/>
    </row>
    <row r="78" spans="2:11">
      <c r="B78" s="51"/>
      <c r="C78" s="50"/>
      <c r="D78" s="41"/>
      <c r="E78" s="41"/>
      <c r="F78" s="41"/>
      <c r="G78" s="41"/>
      <c r="H78" s="41"/>
      <c r="I78" s="41"/>
      <c r="J78" s="41"/>
      <c r="K78" s="41"/>
    </row>
    <row r="79" spans="2:11">
      <c r="B79" s="51"/>
      <c r="C79" s="50"/>
      <c r="D79" s="41"/>
      <c r="E79" s="41"/>
      <c r="F79" s="41"/>
      <c r="G79" s="41"/>
      <c r="H79" s="41"/>
      <c r="I79" s="41"/>
      <c r="J79" s="41"/>
      <c r="K79" s="41"/>
    </row>
    <row r="80" spans="2:11">
      <c r="B80" s="51"/>
      <c r="C80" s="50"/>
      <c r="D80" s="41"/>
      <c r="E80" s="41"/>
      <c r="F80" s="41"/>
      <c r="G80" s="41"/>
      <c r="H80" s="41"/>
      <c r="I80" s="41"/>
      <c r="J80" s="41"/>
      <c r="K80" s="41"/>
    </row>
    <row r="81" spans="2:11">
      <c r="B81" s="41"/>
      <c r="C81" s="50"/>
      <c r="D81" s="41"/>
      <c r="E81" s="41"/>
      <c r="F81" s="41"/>
      <c r="G81" s="41"/>
      <c r="H81" s="41"/>
      <c r="I81" s="41"/>
      <c r="J81" s="41"/>
      <c r="K81" s="41"/>
    </row>
    <row r="82" spans="2:11">
      <c r="B82" s="41"/>
      <c r="C82" s="50"/>
      <c r="D82" s="41"/>
      <c r="E82" s="41"/>
      <c r="F82" s="41"/>
      <c r="G82" s="41"/>
      <c r="H82" s="41"/>
      <c r="I82" s="41"/>
      <c r="J82" s="41"/>
      <c r="K82" s="41"/>
    </row>
    <row r="83" spans="2:11">
      <c r="B83" s="41"/>
      <c r="C83" s="50"/>
      <c r="D83" s="41"/>
      <c r="E83" s="41"/>
      <c r="F83" s="41"/>
      <c r="G83" s="41"/>
      <c r="H83" s="41"/>
      <c r="I83" s="41"/>
      <c r="J83" s="41"/>
      <c r="K83" s="41"/>
    </row>
    <row r="84" spans="2:11">
      <c r="B84" s="41"/>
      <c r="C84" s="50"/>
      <c r="D84" s="41"/>
      <c r="E84" s="41"/>
      <c r="F84" s="41"/>
      <c r="G84" s="41"/>
      <c r="H84" s="41"/>
      <c r="I84" s="41"/>
      <c r="J84" s="41"/>
      <c r="K84" s="41"/>
    </row>
    <row r="85" spans="2:11">
      <c r="B85" s="51"/>
      <c r="C85" s="50"/>
      <c r="D85" s="41"/>
      <c r="E85" s="41"/>
      <c r="F85" s="41"/>
      <c r="G85" s="41"/>
      <c r="H85" s="41"/>
      <c r="I85" s="41"/>
      <c r="J85" s="41"/>
      <c r="K85" s="41"/>
    </row>
    <row r="86" spans="2:11">
      <c r="B86" s="51"/>
      <c r="C86" s="50"/>
      <c r="D86" s="41"/>
      <c r="E86" s="50"/>
      <c r="F86" s="41"/>
      <c r="G86" s="41"/>
      <c r="H86" s="41"/>
      <c r="I86" s="41"/>
      <c r="J86" s="41"/>
      <c r="K86" s="41"/>
    </row>
    <row r="87" spans="2:11">
      <c r="B87" s="51"/>
      <c r="C87" s="50"/>
      <c r="D87" s="41"/>
      <c r="E87" s="50"/>
      <c r="F87" s="41"/>
      <c r="G87" s="41"/>
      <c r="H87" s="41"/>
      <c r="I87" s="41"/>
      <c r="J87" s="41"/>
      <c r="K87" s="41"/>
    </row>
    <row r="88" spans="2:11">
      <c r="B88" s="51"/>
      <c r="C88" s="50"/>
      <c r="D88" s="51"/>
      <c r="E88" s="50"/>
      <c r="F88" s="41"/>
      <c r="G88" s="41"/>
      <c r="H88" s="41"/>
      <c r="I88" s="41"/>
      <c r="J88" s="41"/>
      <c r="K88" s="41"/>
    </row>
    <row r="89" spans="2:11">
      <c r="B89" s="51"/>
      <c r="C89" s="50"/>
      <c r="D89" s="41"/>
      <c r="E89" s="41"/>
      <c r="F89" s="41"/>
      <c r="G89" s="41"/>
      <c r="H89" s="41"/>
      <c r="I89" s="41"/>
      <c r="J89" s="41"/>
      <c r="K89" s="41"/>
    </row>
    <row r="90" spans="2:11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>
      <c r="B91" s="51"/>
      <c r="C91" s="41"/>
      <c r="D91" s="41"/>
      <c r="E91" s="41"/>
      <c r="F91" s="41"/>
      <c r="G91" s="41"/>
      <c r="H91" s="41"/>
      <c r="I91" s="41"/>
      <c r="J91" s="41"/>
      <c r="K91" s="41"/>
    </row>
    <row r="92" spans="2:11">
      <c r="B92" s="41"/>
      <c r="C92" s="41"/>
      <c r="D92" s="41"/>
      <c r="E92" s="41"/>
      <c r="F92" s="41"/>
      <c r="G92" s="41"/>
      <c r="H92" s="41"/>
      <c r="I92" s="41"/>
      <c r="J92" s="41"/>
      <c r="K92" s="41"/>
    </row>
  </sheetData>
  <mergeCells count="3">
    <mergeCell ref="B9:D9"/>
    <mergeCell ref="B18:C18"/>
    <mergeCell ref="B26:C26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86E18-B003-4512-B334-80D2D46A2425}">
  <sheetPr>
    <tabColor theme="4" tint="-0.249977111117893"/>
  </sheetPr>
  <dimension ref="A1:K92"/>
  <sheetViews>
    <sheetView tabSelected="1" topLeftCell="A39" workbookViewId="0">
      <selection activeCell="E42" sqref="E42"/>
    </sheetView>
  </sheetViews>
  <sheetFormatPr baseColWidth="10" defaultRowHeight="15.5"/>
  <cols>
    <col min="1" max="1" width="31.5" customWidth="1"/>
    <col min="2" max="2" width="18" customWidth="1"/>
    <col min="3" max="3" width="16.83203125" bestFit="1" customWidth="1"/>
    <col min="5" max="5" width="13.6640625" customWidth="1"/>
  </cols>
  <sheetData>
    <row r="1" spans="1:7" ht="16" thickBot="1">
      <c r="B1" t="s">
        <v>17</v>
      </c>
      <c r="C1">
        <v>15</v>
      </c>
    </row>
    <row r="2" spans="1:7">
      <c r="B2" s="2" t="s">
        <v>7</v>
      </c>
      <c r="C2" s="3">
        <v>2</v>
      </c>
    </row>
    <row r="3" spans="1:7">
      <c r="B3" s="4" t="s">
        <v>6</v>
      </c>
      <c r="C3" s="5">
        <v>30</v>
      </c>
    </row>
    <row r="4" spans="1:7" ht="16" thickBot="1">
      <c r="B4" s="4" t="s">
        <v>4</v>
      </c>
      <c r="C4" s="5">
        <v>2</v>
      </c>
    </row>
    <row r="5" spans="1:7">
      <c r="B5" s="2" t="s">
        <v>0</v>
      </c>
      <c r="C5" s="7" t="s">
        <v>8</v>
      </c>
      <c r="D5" s="8">
        <f>$C$2*TAN($C$3*PI()/180)</f>
        <v>1.1547005383792515</v>
      </c>
    </row>
    <row r="6" spans="1:7">
      <c r="B6" s="4" t="s">
        <v>1</v>
      </c>
      <c r="C6" s="9" t="s">
        <v>9</v>
      </c>
      <c r="D6" s="10">
        <f>$C$2*TAN(($C$3/2+45)*PI()/180)</f>
        <v>3.4641016151377535</v>
      </c>
    </row>
    <row r="7" spans="1:7">
      <c r="B7" s="4" t="s">
        <v>2</v>
      </c>
      <c r="C7" s="9" t="s">
        <v>10</v>
      </c>
      <c r="D7" s="10">
        <f>($C$2+$C$4)*TAN($C$3*PI()/180)</f>
        <v>2.3094010767585029</v>
      </c>
    </row>
    <row r="8" spans="1:7" ht="16" thickBot="1">
      <c r="B8" s="6" t="s">
        <v>3</v>
      </c>
      <c r="C8" s="11" t="s">
        <v>11</v>
      </c>
      <c r="D8" s="12">
        <f>($C$2+$C$4)*TAN(($C$3/2+45)*PI()/180)</f>
        <v>6.928203230275507</v>
      </c>
    </row>
    <row r="9" spans="1:7" ht="16" thickBot="1">
      <c r="B9" s="43" t="s">
        <v>12</v>
      </c>
      <c r="C9" s="44"/>
      <c r="D9" s="45"/>
      <c r="G9" t="s">
        <v>56</v>
      </c>
    </row>
    <row r="10" spans="1:7">
      <c r="B10" s="20" t="s">
        <v>5</v>
      </c>
      <c r="C10" s="21">
        <v>0.3</v>
      </c>
      <c r="D10" s="19"/>
    </row>
    <row r="11" spans="1:7">
      <c r="B11" s="14" t="s">
        <v>55</v>
      </c>
      <c r="C11" s="1">
        <f>$C$35*COS($C$36*PI()/180)</f>
        <v>0.28190778623577251</v>
      </c>
      <c r="D11" s="19"/>
    </row>
    <row r="12" spans="1:7" ht="16" thickBot="1">
      <c r="B12" s="14" t="s">
        <v>40</v>
      </c>
      <c r="C12" s="1">
        <f>$C$35*COS($C$36*PI()/180)*1.1</f>
        <v>0.31009856485934978</v>
      </c>
    </row>
    <row r="13" spans="1:7">
      <c r="B13" s="2"/>
      <c r="C13" s="3"/>
    </row>
    <row r="14" spans="1:7" ht="31">
      <c r="A14" s="25" t="s">
        <v>57</v>
      </c>
      <c r="B14" s="23" t="s">
        <v>13</v>
      </c>
      <c r="C14" s="24">
        <f>2*$C$4/$C$12*TAN(PI()/4-$C$3/2*PI()/180)+$D$5+$D$6-$D$8</f>
        <v>5.137911934206155</v>
      </c>
    </row>
    <row r="15" spans="1:7">
      <c r="B15" s="4"/>
      <c r="C15" s="10"/>
    </row>
    <row r="16" spans="1:7">
      <c r="B16" s="4"/>
      <c r="C16" s="10"/>
    </row>
    <row r="17" spans="1:6">
      <c r="A17" t="s">
        <v>58</v>
      </c>
      <c r="B17" s="4" t="s">
        <v>13</v>
      </c>
      <c r="C17" s="10">
        <f>2*$C$4/$C$12*TAN(PI()/4-$C$3/2*PI()/180)+$D$5+$D$7-$D$8</f>
        <v>3.9832113958269044</v>
      </c>
    </row>
    <row r="18" spans="1:6" ht="16" thickBot="1">
      <c r="A18" t="s">
        <v>54</v>
      </c>
      <c r="B18" s="46">
        <f>IF($D$6&gt;$D$7,C14,C17)</f>
        <v>5.137911934206155</v>
      </c>
      <c r="C18" s="47"/>
    </row>
    <row r="19" spans="1:6" ht="16" thickBot="1"/>
    <row r="20" spans="1:6">
      <c r="A20" s="25" t="s">
        <v>14</v>
      </c>
      <c r="B20" s="26" t="s">
        <v>16</v>
      </c>
      <c r="C20" s="27">
        <f>2*$C$4*$C$1/($D$7+$D$8-$D$5-$D$6)*TAN(PI()/4-$C$3/2*PI()/180)</f>
        <v>7.5000000000000009</v>
      </c>
    </row>
    <row r="21" spans="1:6">
      <c r="A21" s="13"/>
      <c r="B21" s="15"/>
      <c r="C21" s="5"/>
    </row>
    <row r="22" spans="1:6">
      <c r="A22" s="22" t="s">
        <v>15</v>
      </c>
      <c r="B22" s="28" t="s">
        <v>16</v>
      </c>
      <c r="C22" s="17">
        <f>2*$C$4*$C$1/($D$8-$D$5)*TAN(PI()/4-$C$3/2*PI()/180)</f>
        <v>6.0000000000000027</v>
      </c>
    </row>
    <row r="23" spans="1:6">
      <c r="B23" s="4"/>
      <c r="C23" s="5"/>
    </row>
    <row r="24" spans="1:6">
      <c r="B24" s="16" t="s">
        <v>18</v>
      </c>
      <c r="C24" s="17">
        <f>C12*C1</f>
        <v>4.651478472890247</v>
      </c>
    </row>
    <row r="25" spans="1:6">
      <c r="B25" s="4"/>
      <c r="C25" s="5"/>
    </row>
    <row r="26" spans="1:6" ht="16" thickBot="1">
      <c r="B26" s="48" t="str">
        <f>IF($C$22&gt;$C$24, "s_max &gt; Kaq Q, il faut tronquer à Kaq.q", "s_max &lt; Kaq . Q , la repartition triangulaire")</f>
        <v>s_max &gt; Kaq Q, il faut tronquer à Kaq.q</v>
      </c>
      <c r="C26" s="49"/>
    </row>
    <row r="28" spans="1:6" ht="16" thickBot="1">
      <c r="E28" s="61" t="s">
        <v>65</v>
      </c>
      <c r="F28" s="58">
        <v>3</v>
      </c>
    </row>
    <row r="29" spans="1:6">
      <c r="A29" s="13" t="s">
        <v>19</v>
      </c>
      <c r="B29" s="2" t="s">
        <v>20</v>
      </c>
      <c r="C29" s="3">
        <v>1</v>
      </c>
    </row>
    <row r="30" spans="1:6">
      <c r="B30" s="4" t="s">
        <v>21</v>
      </c>
      <c r="C30" s="5">
        <v>4</v>
      </c>
      <c r="E30" s="62" t="s">
        <v>66</v>
      </c>
      <c r="F30" s="63">
        <f>0.095+(0.81/(1+SQRT(1+(F28/Feuil1!C42))))</f>
        <v>0.45336710813591263</v>
      </c>
    </row>
    <row r="31" spans="1:6">
      <c r="A31" s="18"/>
      <c r="B31" s="29" t="s">
        <v>62</v>
      </c>
      <c r="C31" s="5">
        <v>18</v>
      </c>
    </row>
    <row r="32" spans="1:6">
      <c r="B32" s="15" t="s">
        <v>23</v>
      </c>
      <c r="C32" s="5">
        <v>19</v>
      </c>
      <c r="E32" s="61" t="s">
        <v>67</v>
      </c>
      <c r="F32" s="63">
        <f>F30*F28</f>
        <v>1.3601013244077378</v>
      </c>
    </row>
    <row r="33" spans="1:9">
      <c r="B33" s="15" t="s">
        <v>35</v>
      </c>
      <c r="C33" s="5">
        <v>10</v>
      </c>
      <c r="E33" s="61" t="s">
        <v>68</v>
      </c>
      <c r="F33" s="63">
        <f>F28-F32</f>
        <v>1.6398986755922622</v>
      </c>
    </row>
    <row r="34" spans="1:9">
      <c r="B34" s="4" t="s">
        <v>24</v>
      </c>
      <c r="C34" s="5">
        <v>0</v>
      </c>
      <c r="F34" s="63"/>
      <c r="H34" s="60" t="s">
        <v>71</v>
      </c>
      <c r="I34" s="1">
        <f>(C32-C33)-F35*C33</f>
        <v>6.3331346580240435</v>
      </c>
    </row>
    <row r="35" spans="1:9">
      <c r="B35" s="4" t="s">
        <v>29</v>
      </c>
      <c r="C35" s="5">
        <f>C10</f>
        <v>0.3</v>
      </c>
      <c r="E35" s="59" t="s">
        <v>69</v>
      </c>
      <c r="F35" s="63">
        <f>F32/Feuil1!C42</f>
        <v>0.26668653419759564</v>
      </c>
      <c r="H35" s="60" t="s">
        <v>63</v>
      </c>
      <c r="I35" s="1">
        <f>(C32-C33)+F36*C33</f>
        <v>11.024566266163287</v>
      </c>
    </row>
    <row r="36" spans="1:9">
      <c r="B36" s="15" t="s">
        <v>25</v>
      </c>
      <c r="C36" s="5">
        <v>20</v>
      </c>
      <c r="E36" s="59" t="s">
        <v>70</v>
      </c>
      <c r="F36" s="63">
        <f>F33/((C30-C29)+Feuil1!C42)</f>
        <v>0.20245662661632868</v>
      </c>
    </row>
    <row r="37" spans="1:9">
      <c r="B37" s="15" t="s">
        <v>26</v>
      </c>
      <c r="C37" s="5">
        <v>-10</v>
      </c>
    </row>
    <row r="38" spans="1:9" ht="16" thickBot="1">
      <c r="B38" s="30" t="s">
        <v>33</v>
      </c>
      <c r="C38" s="31">
        <v>2.1</v>
      </c>
    </row>
    <row r="39" spans="1:9">
      <c r="B39" s="14" t="s">
        <v>55</v>
      </c>
      <c r="C39" s="1">
        <f>$C$35*COS($C$36*PI()/180)</f>
        <v>0.28190778623577251</v>
      </c>
      <c r="E39" s="59" t="s">
        <v>64</v>
      </c>
      <c r="F39" s="63">
        <f>(F32+Feuil1!C42)*C33</f>
        <v>64.601013244077379</v>
      </c>
    </row>
    <row r="40" spans="1:9">
      <c r="B40" s="14" t="s">
        <v>40</v>
      </c>
      <c r="C40" s="1">
        <f>$C$35*COS($C$36*PI()/180)*1.1</f>
        <v>0.31009856485934978</v>
      </c>
    </row>
    <row r="41" spans="1:9" ht="16" thickBot="1">
      <c r="B41" s="32"/>
      <c r="C41" s="33"/>
      <c r="D41" s="34"/>
      <c r="E41" s="34"/>
      <c r="F41" s="34"/>
    </row>
    <row r="42" spans="1:9" ht="31">
      <c r="A42" s="13" t="s">
        <v>59</v>
      </c>
      <c r="B42" s="36" t="s">
        <v>31</v>
      </c>
      <c r="C42" s="37">
        <v>5.0999999999999996</v>
      </c>
      <c r="D42" s="38" t="s">
        <v>72</v>
      </c>
      <c r="E42" s="66">
        <f>C44*F44+C45*F45+C46*F46+C49*F49+C53*F53+C54*F54+C55*F55-C47*F47-C50*F50</f>
        <v>-20.059421106068612</v>
      </c>
      <c r="F42" s="40"/>
      <c r="G42" s="34"/>
    </row>
    <row r="43" spans="1:9">
      <c r="B43" s="4"/>
      <c r="C43" s="10"/>
      <c r="D43" s="4"/>
      <c r="E43" s="41"/>
      <c r="F43" s="5"/>
    </row>
    <row r="44" spans="1:9">
      <c r="A44" t="s">
        <v>27</v>
      </c>
      <c r="B44" s="15" t="s">
        <v>28</v>
      </c>
      <c r="C44" s="10">
        <f>$C$35*COS($C$36*PI()/180)*$C$31*$C$29*$C$29/2</f>
        <v>2.5371700761219524</v>
      </c>
      <c r="D44" s="4"/>
      <c r="E44" s="41" t="s">
        <v>44</v>
      </c>
      <c r="F44" s="10">
        <f>0.16</f>
        <v>0.16</v>
      </c>
    </row>
    <row r="45" spans="1:9">
      <c r="B45" s="15" t="s">
        <v>30</v>
      </c>
      <c r="C45" s="10">
        <f>$C$35*COS($C$36*PI()/180)*$C$31*$C$29*($C$30-$C$29+$C$42)/2</f>
        <v>20.551077616587815</v>
      </c>
      <c r="D45" s="4"/>
      <c r="E45" s="41" t="s">
        <v>45</v>
      </c>
      <c r="F45" s="35">
        <f>0.5+((C42+3)/2)</f>
        <v>4.55</v>
      </c>
    </row>
    <row r="46" spans="1:9">
      <c r="B46" s="15" t="s">
        <v>32</v>
      </c>
      <c r="C46" s="10">
        <f>$C$35*COS($C$36*PI()/180)*(I35)*($C$30-$C$29+$C$42)^2/2</f>
        <v>101.95502266131186</v>
      </c>
      <c r="D46" s="4"/>
      <c r="E46" s="41" t="s">
        <v>46</v>
      </c>
      <c r="F46" s="10">
        <f>0.5+((2/3)*(C42+3))</f>
        <v>5.8999999999999995</v>
      </c>
    </row>
    <row r="47" spans="1:9">
      <c r="B47" s="15" t="s">
        <v>34</v>
      </c>
      <c r="C47" s="10">
        <f>$C$38*(I34)*$C$42^2/2</f>
        <v>172.96107407796563</v>
      </c>
      <c r="D47" s="4"/>
      <c r="E47" s="41" t="s">
        <v>47</v>
      </c>
      <c r="F47" s="10">
        <f>0.5+3+(2*C42/3)</f>
        <v>6.9</v>
      </c>
    </row>
    <row r="48" spans="1:9">
      <c r="B48" s="4"/>
      <c r="C48" s="10"/>
      <c r="D48" s="4"/>
      <c r="E48" s="41"/>
      <c r="F48" s="5"/>
    </row>
    <row r="49" spans="1:11">
      <c r="A49" t="s">
        <v>36</v>
      </c>
      <c r="B49" s="15" t="s">
        <v>37</v>
      </c>
      <c r="C49" s="10">
        <f>F39*(C42+3)/2</f>
        <v>261.63410363851335</v>
      </c>
      <c r="D49" s="4"/>
      <c r="E49" s="41" t="s">
        <v>48</v>
      </c>
      <c r="F49" s="10">
        <f>F46</f>
        <v>5.8999999999999995</v>
      </c>
    </row>
    <row r="50" spans="1:11">
      <c r="B50" s="15" t="s">
        <v>38</v>
      </c>
      <c r="C50" s="10">
        <f>F39*C42/2</f>
        <v>164.73258377239731</v>
      </c>
      <c r="D50" s="4"/>
      <c r="E50" s="41" t="s">
        <v>49</v>
      </c>
      <c r="F50" s="10">
        <f>F47</f>
        <v>6.9</v>
      </c>
    </row>
    <row r="51" spans="1:11">
      <c r="B51" s="15"/>
      <c r="C51" s="10"/>
      <c r="D51" s="4"/>
      <c r="E51" s="41"/>
      <c r="F51" s="5"/>
    </row>
    <row r="52" spans="1:11">
      <c r="B52" s="15" t="s">
        <v>17</v>
      </c>
      <c r="C52" s="10">
        <f>$C$1</f>
        <v>15</v>
      </c>
      <c r="D52" s="4"/>
      <c r="E52" s="41"/>
      <c r="F52" s="5"/>
    </row>
    <row r="53" spans="1:11">
      <c r="A53" t="s">
        <v>39</v>
      </c>
      <c r="B53" s="15" t="s">
        <v>41</v>
      </c>
      <c r="C53">
        <v>2.7</v>
      </c>
      <c r="D53" s="4"/>
      <c r="E53" s="41" t="s">
        <v>50</v>
      </c>
      <c r="F53" s="10">
        <f>((2/3)*(D7-D5))+(D5-0.5)</f>
        <v>1.4245008972987523</v>
      </c>
    </row>
    <row r="54" spans="1:11">
      <c r="B54" s="15" t="s">
        <v>42</v>
      </c>
      <c r="C54">
        <v>14.3</v>
      </c>
      <c r="D54" s="4"/>
      <c r="E54" s="41" t="s">
        <v>51</v>
      </c>
      <c r="F54" s="10">
        <f>((B18-D7)/2)+(D7-0.5)</f>
        <v>3.223656505482329</v>
      </c>
    </row>
    <row r="55" spans="1:11" ht="16" thickBot="1">
      <c r="B55" s="30" t="s">
        <v>43</v>
      </c>
      <c r="C55">
        <v>3.6</v>
      </c>
      <c r="D55" s="6"/>
      <c r="E55" s="42" t="s">
        <v>52</v>
      </c>
      <c r="F55" s="12">
        <f>(B18-0.5)+((2/3)*(D8-B18))</f>
        <v>5.8314394649190557</v>
      </c>
    </row>
    <row r="56" spans="1:11">
      <c r="B56" s="14"/>
      <c r="C56" s="1"/>
    </row>
    <row r="57" spans="1:11">
      <c r="B57" s="14"/>
      <c r="C57" s="1"/>
    </row>
    <row r="58" spans="1:11">
      <c r="B58" s="64"/>
      <c r="C58" s="65"/>
    </row>
    <row r="59" spans="1:11">
      <c r="B59" s="14"/>
      <c r="C59" s="1"/>
    </row>
    <row r="60" spans="1:11">
      <c r="B60" s="14"/>
      <c r="C60" s="1"/>
    </row>
    <row r="61" spans="1:11">
      <c r="B61" s="14"/>
    </row>
    <row r="62" spans="1:11">
      <c r="B62" s="51"/>
      <c r="C62" s="41"/>
      <c r="D62" s="41"/>
      <c r="E62" s="41"/>
      <c r="F62" s="41"/>
      <c r="G62" s="41"/>
      <c r="H62" s="41"/>
      <c r="I62" s="41"/>
      <c r="J62" s="41"/>
      <c r="K62" s="41"/>
    </row>
    <row r="63" spans="1:11">
      <c r="B63" s="54"/>
      <c r="C63" s="55"/>
      <c r="D63" s="41"/>
      <c r="E63" s="52"/>
      <c r="F63" s="41"/>
      <c r="G63" s="41"/>
      <c r="H63" s="41"/>
      <c r="I63" s="41"/>
      <c r="J63" s="41"/>
      <c r="K63" s="41"/>
    </row>
    <row r="64" spans="1:11"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2:11">
      <c r="B65" s="51"/>
      <c r="C65" s="50"/>
      <c r="D65" s="41"/>
      <c r="E65" s="41"/>
      <c r="F65" s="50"/>
      <c r="G65" s="41"/>
      <c r="H65" s="41"/>
      <c r="I65" s="41"/>
      <c r="J65" s="41"/>
      <c r="K65" s="41"/>
    </row>
    <row r="66" spans="2:11">
      <c r="B66" s="51"/>
      <c r="C66" s="50"/>
      <c r="D66" s="41"/>
      <c r="E66" s="41"/>
      <c r="F66" s="53"/>
      <c r="G66" s="41"/>
      <c r="H66" s="41"/>
      <c r="I66" s="41"/>
      <c r="J66" s="41"/>
      <c r="K66" s="41"/>
    </row>
    <row r="67" spans="2:11">
      <c r="B67" s="51"/>
      <c r="C67" s="50"/>
      <c r="D67" s="41"/>
      <c r="E67" s="41"/>
      <c r="F67" s="50"/>
      <c r="G67" s="41"/>
      <c r="H67" s="41"/>
      <c r="I67" s="41"/>
      <c r="J67" s="41"/>
      <c r="K67" s="41"/>
    </row>
    <row r="68" spans="2:11">
      <c r="B68" s="51"/>
      <c r="C68" s="50"/>
      <c r="D68" s="41"/>
      <c r="E68" s="41"/>
      <c r="F68" s="50"/>
      <c r="G68" s="41"/>
      <c r="H68" s="41"/>
      <c r="I68" s="41"/>
      <c r="J68" s="41"/>
      <c r="K68" s="41"/>
    </row>
    <row r="69" spans="2:11">
      <c r="B69" s="41"/>
      <c r="C69" s="50"/>
      <c r="D69" s="41"/>
      <c r="E69" s="41"/>
      <c r="F69" s="41"/>
      <c r="G69" s="41"/>
      <c r="H69" s="41"/>
      <c r="I69" s="41"/>
      <c r="J69" s="41"/>
      <c r="K69" s="41"/>
    </row>
    <row r="70" spans="2:11">
      <c r="B70" s="51"/>
      <c r="C70" s="50"/>
      <c r="D70" s="41"/>
      <c r="E70" s="41"/>
      <c r="F70" s="50"/>
      <c r="G70" s="41"/>
      <c r="H70" s="41"/>
      <c r="I70" s="41"/>
      <c r="J70" s="41"/>
      <c r="K70" s="41"/>
    </row>
    <row r="71" spans="2:11">
      <c r="B71" s="51"/>
      <c r="C71" s="50"/>
      <c r="D71" s="41"/>
      <c r="E71" s="41"/>
      <c r="F71" s="50"/>
      <c r="G71" s="41"/>
      <c r="H71" s="41"/>
      <c r="I71" s="41"/>
      <c r="J71" s="41"/>
      <c r="K71" s="41"/>
    </row>
    <row r="72" spans="2:11">
      <c r="B72" s="51"/>
      <c r="C72" s="50"/>
      <c r="D72" s="41"/>
      <c r="E72" s="41"/>
      <c r="F72" s="41"/>
      <c r="G72" s="41"/>
      <c r="H72" s="41"/>
      <c r="I72" s="41"/>
      <c r="J72" s="41"/>
      <c r="K72" s="41"/>
    </row>
    <row r="73" spans="2:11">
      <c r="B73" s="51"/>
      <c r="C73" s="50"/>
      <c r="D73" s="41"/>
      <c r="E73" s="41"/>
      <c r="F73" s="41"/>
      <c r="G73" s="41"/>
      <c r="H73" s="41"/>
      <c r="I73" s="41"/>
      <c r="J73" s="41"/>
      <c r="K73" s="41"/>
    </row>
    <row r="74" spans="2:11">
      <c r="B74" s="51"/>
      <c r="C74" s="50"/>
      <c r="D74" s="41"/>
      <c r="E74" s="41"/>
      <c r="F74" s="50"/>
      <c r="G74" s="41"/>
      <c r="H74" s="41"/>
      <c r="I74" s="41"/>
      <c r="J74" s="41"/>
      <c r="K74" s="41"/>
    </row>
    <row r="75" spans="2:11">
      <c r="B75" s="51"/>
      <c r="C75" s="50"/>
      <c r="D75" s="41"/>
      <c r="E75" s="41"/>
      <c r="F75" s="50"/>
      <c r="G75" s="41"/>
      <c r="H75" s="41"/>
      <c r="I75" s="41"/>
      <c r="J75" s="41"/>
      <c r="K75" s="41"/>
    </row>
    <row r="76" spans="2:11">
      <c r="B76" s="51"/>
      <c r="C76" s="50"/>
      <c r="D76" s="41"/>
      <c r="E76" s="41"/>
      <c r="F76" s="50"/>
      <c r="G76" s="41"/>
      <c r="H76" s="41"/>
      <c r="I76" s="41"/>
      <c r="J76" s="41"/>
      <c r="K76" s="41"/>
    </row>
    <row r="77" spans="2:11">
      <c r="B77" s="41"/>
      <c r="C77" s="50"/>
      <c r="D77" s="41"/>
      <c r="E77" s="41"/>
      <c r="F77" s="41"/>
      <c r="G77" s="41"/>
      <c r="H77" s="41"/>
      <c r="I77" s="41"/>
      <c r="J77" s="41"/>
      <c r="K77" s="41"/>
    </row>
    <row r="78" spans="2:11">
      <c r="B78" s="51"/>
      <c r="C78" s="50"/>
      <c r="D78" s="41"/>
      <c r="E78" s="41"/>
      <c r="F78" s="41"/>
      <c r="G78" s="41"/>
      <c r="H78" s="41"/>
      <c r="I78" s="41"/>
      <c r="J78" s="41"/>
      <c r="K78" s="41"/>
    </row>
    <row r="79" spans="2:11">
      <c r="B79" s="51"/>
      <c r="C79" s="50"/>
      <c r="D79" s="41"/>
      <c r="E79" s="41"/>
      <c r="F79" s="41"/>
      <c r="G79" s="41"/>
      <c r="H79" s="41"/>
      <c r="I79" s="41"/>
      <c r="J79" s="41"/>
      <c r="K79" s="41"/>
    </row>
    <row r="80" spans="2:11">
      <c r="B80" s="51"/>
      <c r="C80" s="50"/>
      <c r="D80" s="41"/>
      <c r="E80" s="41"/>
      <c r="F80" s="41"/>
      <c r="G80" s="41"/>
      <c r="H80" s="41"/>
      <c r="I80" s="41"/>
      <c r="J80" s="41"/>
      <c r="K80" s="41"/>
    </row>
    <row r="81" spans="2:11">
      <c r="B81" s="41"/>
      <c r="C81" s="50"/>
      <c r="D81" s="41"/>
      <c r="E81" s="41"/>
      <c r="F81" s="41"/>
      <c r="G81" s="41"/>
      <c r="H81" s="41"/>
      <c r="I81" s="41"/>
      <c r="J81" s="41"/>
      <c r="K81" s="41"/>
    </row>
    <row r="82" spans="2:11">
      <c r="B82" s="41"/>
      <c r="C82" s="50"/>
      <c r="D82" s="41"/>
      <c r="E82" s="41"/>
      <c r="F82" s="41"/>
      <c r="G82" s="41"/>
      <c r="H82" s="41"/>
      <c r="I82" s="41"/>
      <c r="J82" s="41"/>
      <c r="K82" s="41"/>
    </row>
    <row r="83" spans="2:11">
      <c r="B83" s="41"/>
      <c r="C83" s="50"/>
      <c r="D83" s="41"/>
      <c r="E83" s="41"/>
      <c r="F83" s="41"/>
      <c r="G83" s="41"/>
      <c r="H83" s="41"/>
      <c r="I83" s="41"/>
      <c r="J83" s="41"/>
      <c r="K83" s="41"/>
    </row>
    <row r="84" spans="2:11">
      <c r="B84" s="41"/>
      <c r="C84" s="50"/>
      <c r="D84" s="41"/>
      <c r="E84" s="41"/>
      <c r="F84" s="41"/>
      <c r="G84" s="41"/>
      <c r="H84" s="41"/>
      <c r="I84" s="41"/>
      <c r="J84" s="41"/>
      <c r="K84" s="41"/>
    </row>
    <row r="85" spans="2:11">
      <c r="B85" s="51"/>
      <c r="C85" s="50"/>
      <c r="D85" s="41"/>
      <c r="E85" s="41"/>
      <c r="F85" s="41"/>
      <c r="G85" s="41"/>
      <c r="H85" s="41"/>
      <c r="I85" s="41"/>
      <c r="J85" s="41"/>
      <c r="K85" s="41"/>
    </row>
    <row r="86" spans="2:11">
      <c r="B86" s="51"/>
      <c r="C86" s="50"/>
      <c r="D86" s="41"/>
      <c r="E86" s="50"/>
      <c r="F86" s="41"/>
      <c r="G86" s="41"/>
      <c r="H86" s="41"/>
      <c r="I86" s="41"/>
      <c r="J86" s="41"/>
      <c r="K86" s="41"/>
    </row>
    <row r="87" spans="2:11">
      <c r="B87" s="51"/>
      <c r="C87" s="50"/>
      <c r="D87" s="41"/>
      <c r="E87" s="50"/>
      <c r="F87" s="41"/>
      <c r="G87" s="41"/>
      <c r="H87" s="41"/>
      <c r="I87" s="41"/>
      <c r="J87" s="41"/>
      <c r="K87" s="41"/>
    </row>
    <row r="88" spans="2:11">
      <c r="B88" s="51"/>
      <c r="C88" s="50"/>
      <c r="D88" s="51"/>
      <c r="E88" s="50"/>
      <c r="F88" s="41"/>
      <c r="G88" s="41"/>
      <c r="H88" s="41"/>
      <c r="I88" s="41"/>
      <c r="J88" s="41"/>
      <c r="K88" s="41"/>
    </row>
    <row r="89" spans="2:11">
      <c r="B89" s="51"/>
      <c r="C89" s="50"/>
      <c r="D89" s="41"/>
      <c r="E89" s="41"/>
      <c r="F89" s="41"/>
      <c r="G89" s="41"/>
      <c r="H89" s="41"/>
      <c r="I89" s="41"/>
      <c r="J89" s="41"/>
      <c r="K89" s="41"/>
    </row>
    <row r="90" spans="2:11"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2:11">
      <c r="B91" s="51"/>
      <c r="C91" s="41"/>
      <c r="D91" s="41"/>
      <c r="E91" s="41"/>
      <c r="F91" s="41"/>
      <c r="G91" s="41"/>
      <c r="H91" s="41"/>
      <c r="I91" s="41"/>
      <c r="J91" s="41"/>
      <c r="K91" s="41"/>
    </row>
    <row r="92" spans="2:11">
      <c r="B92" s="41"/>
      <c r="C92" s="41"/>
      <c r="D92" s="41"/>
      <c r="E92" s="41"/>
      <c r="F92" s="41"/>
      <c r="G92" s="41"/>
      <c r="H92" s="41"/>
      <c r="I92" s="41"/>
      <c r="J92" s="41"/>
      <c r="K92" s="41"/>
    </row>
  </sheetData>
  <mergeCells count="3">
    <mergeCell ref="B9:D9"/>
    <mergeCell ref="B18:C18"/>
    <mergeCell ref="B26:C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Daouadji</dc:creator>
  <cp:lastModifiedBy>Laurent Briancon</cp:lastModifiedBy>
  <dcterms:created xsi:type="dcterms:W3CDTF">2024-01-07T16:26:30Z</dcterms:created>
  <dcterms:modified xsi:type="dcterms:W3CDTF">2024-01-08T17:04:09Z</dcterms:modified>
</cp:coreProperties>
</file>