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filterPrivacy="1" autoCompressPictures="0"/>
  <bookViews>
    <workbookView xWindow="0" yWindow="0" windowWidth="25600" windowHeight="16060" tabRatio="663"/>
  </bookViews>
  <sheets>
    <sheet name="Modèle de durée de vie" sheetId="2" r:id="rId1"/>
    <sheet name="Évolution de l'usure" sheetId="1" r:id="rId2"/>
    <sheet name="Données matériau" sheetId="3" r:id="rId3"/>
    <sheet name="Optimisation de l'usinage" sheetId="4" r:id="rId4"/>
    <sheet name="CalculPourGraphe" sheetId="5" state="hidden" r:id="rId5"/>
  </sheets>
  <externalReferences>
    <externalReference r:id="rId6"/>
  </externalReferences>
  <definedNames>
    <definedName name="ap">'Optimisation de l''usinage'!$B$12</definedName>
    <definedName name="aref">[1]CALCUL!$C$17</definedName>
    <definedName name="avance">[1]CALCUL!$C$6</definedName>
    <definedName name="CCECO">[1]CALCUL!$G$34</definedName>
    <definedName name="CCIMP">[1]CALCUL!$K$31</definedName>
    <definedName name="CCPRO">[1]CALCUL!$I$32</definedName>
    <definedName name="CF">[1]CALCUL!$G$35</definedName>
    <definedName name="Cm">'Optimisation de l''usinage'!$B$6</definedName>
    <definedName name="Co">'Optimisation de l''usinage'!$B$7</definedName>
    <definedName name="COECO">[1]CALCUL!$G$33</definedName>
    <definedName name="COIMP">[1]CALCUL!$K$30</definedName>
    <definedName name="COPRO">[1]CALCUL!$I$31</definedName>
    <definedName name="couple">[1]CALCUL!$G$40</definedName>
    <definedName name="coutmachine">[1]CALCUL!$C$48</definedName>
    <definedName name="coutoutil">[1]CALCUL!$C$53</definedName>
    <definedName name="CPIMP">[1]CALCUL!$K$32</definedName>
    <definedName name="CPMINI">[1]CALCUL!$G$36</definedName>
    <definedName name="CPPRO">[1]CALCUL!$I$33</definedName>
    <definedName name="CUECO">[1]CALCUL!$G$32</definedName>
    <definedName name="CUIMP">[1]CALCUL!$K$29</definedName>
    <definedName name="CUPRO">[1]CALCUL!$I$30</definedName>
    <definedName name="D">'Optimisation de l''usinage'!$B$2</definedName>
    <definedName name="diamètre">[1]CALCUL!$C$8</definedName>
    <definedName name="Du">'Optimisation de l''usinage'!$B$2</definedName>
    <definedName name="dureeimpoutil">[1]CALCUL!$B$36</definedName>
    <definedName name="E">[1]CALCUL!$C$20</definedName>
    <definedName name="F">[1]CALCUL!$C$21</definedName>
    <definedName name="FC">[1]CALCUL!$G$38</definedName>
    <definedName name="fref">[1]CALCUL!$C$16</definedName>
    <definedName name="fz">'Optimisation de l''usinage'!$B$13</definedName>
    <definedName name="G">[1]CALCUL!$C$22</definedName>
    <definedName name="longueur">[1]CALCUL!$C$7</definedName>
    <definedName name="Lu">'Optimisation de l''usinage'!$B$3</definedName>
    <definedName name="PCECO_">[1]CALCUL!$G$39</definedName>
    <definedName name="PCIMP">[1]CALCUL!$K$34</definedName>
    <definedName name="PCPRO">[1]CALCUL!$I$35</definedName>
    <definedName name="pénétration">[1]CALCUL!$C$5</definedName>
    <definedName name="PPAE">[1]CALCUL!$G$41</definedName>
    <definedName name="PPAI">[1]CALCUL!$K$35</definedName>
    <definedName name="PPAP">[1]CALCUL!$I$36</definedName>
    <definedName name="PROECO">[1]CALCUL!$G$37</definedName>
    <definedName name="PROIMP">[1]CALCUL!$K$33</definedName>
    <definedName name="PROMAX">[1]CALCUL!$I$34</definedName>
    <definedName name="serie">[1]CALCUL!$B$34</definedName>
    <definedName name="Ta">'Optimisation de l''usinage'!$B$8</definedName>
    <definedName name="Tc">'Optimisation de l''usinage'!$B$9</definedName>
    <definedName name="TECO">[1]CALCUL!$G$27</definedName>
    <definedName name="tempschange">[1]CALCUL!$B$31</definedName>
    <definedName name="tempsmain">[1]CALCUL!$B$33</definedName>
    <definedName name="tempsserie">[1]CALCUL!$B$32</definedName>
    <definedName name="TPPRO">[1]CALCUL!$I$25</definedName>
    <definedName name="Tref">[1]CALCUL!$C$19</definedName>
    <definedName name="TTSE">[1]CALCUL!$G$42</definedName>
    <definedName name="TTSI">[1]CALCUL!$K$36</definedName>
    <definedName name="TTSP">[1]CALCUL!$I$37</definedName>
    <definedName name="TUECO">[1]CALCUL!$G$31</definedName>
    <definedName name="TUIMP">[1]CALCUL!$K$28</definedName>
    <definedName name="TUPRO">[1]CALCUL!$I$29</definedName>
    <definedName name="Vcref">[1]CALCUL!$C$18</definedName>
    <definedName name="VECO">[1]CALCUL!$G$28</definedName>
    <definedName name="VIMP">[1]CALCUL!$K$25</definedName>
    <definedName name="VPRO">[1]CALCUL!$I$26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2" l="1"/>
  <c r="F26" i="2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" i="5"/>
  <c r="H3" i="4"/>
  <c r="G10" i="4"/>
  <c r="H10" i="4"/>
  <c r="F10" i="4"/>
  <c r="C19" i="4"/>
  <c r="C18" i="4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18" i="1"/>
  <c r="C20" i="4"/>
  <c r="G3" i="4"/>
  <c r="F3" i="4"/>
  <c r="C17" i="4"/>
  <c r="B6" i="5"/>
  <c r="F4" i="4"/>
  <c r="H4" i="4"/>
  <c r="H5" i="4"/>
  <c r="G4" i="4"/>
  <c r="G5" i="4"/>
  <c r="G9" i="4"/>
  <c r="G14" i="4"/>
  <c r="G8" i="4"/>
  <c r="G13" i="4"/>
  <c r="G7" i="4"/>
  <c r="H7" i="4"/>
  <c r="H8" i="4"/>
  <c r="H14" i="4"/>
  <c r="H9" i="4"/>
  <c r="H13" i="4"/>
  <c r="F5" i="4"/>
  <c r="B2" i="5"/>
  <c r="H11" i="4"/>
  <c r="G11" i="4"/>
  <c r="B1" i="5"/>
  <c r="E2" i="5"/>
  <c r="B3" i="5"/>
  <c r="F7" i="4"/>
  <c r="F13" i="4"/>
  <c r="F14" i="4"/>
  <c r="F8" i="4"/>
  <c r="F9" i="4"/>
  <c r="B4" i="5"/>
  <c r="E3" i="5"/>
  <c r="G3" i="5"/>
  <c r="F11" i="4"/>
  <c r="G2" i="5"/>
  <c r="F2" i="5"/>
  <c r="F3" i="5"/>
  <c r="M3" i="5"/>
  <c r="E4" i="5"/>
  <c r="G4" i="5"/>
  <c r="J2" i="5"/>
  <c r="I3" i="5"/>
  <c r="K3" i="5"/>
  <c r="K2" i="5"/>
  <c r="I2" i="5"/>
  <c r="M2" i="5"/>
  <c r="F4" i="5"/>
  <c r="K4" i="5"/>
  <c r="E5" i="5"/>
  <c r="E6" i="5"/>
  <c r="J3" i="5"/>
  <c r="L3" i="5"/>
  <c r="I4" i="5"/>
  <c r="M4" i="5"/>
  <c r="L2" i="5"/>
  <c r="F5" i="5"/>
  <c r="J4" i="5"/>
  <c r="L4" i="5"/>
  <c r="G5" i="5"/>
  <c r="G6" i="5"/>
  <c r="E7" i="5"/>
  <c r="F6" i="5"/>
  <c r="K5" i="5"/>
  <c r="J5" i="5"/>
  <c r="I5" i="5"/>
  <c r="M5" i="5"/>
  <c r="J6" i="5"/>
  <c r="G7" i="5"/>
  <c r="E8" i="5"/>
  <c r="F7" i="5"/>
  <c r="K6" i="5"/>
  <c r="I6" i="5"/>
  <c r="M6" i="5"/>
  <c r="L5" i="5"/>
  <c r="L6" i="5"/>
  <c r="J7" i="5"/>
  <c r="G8" i="5"/>
  <c r="E9" i="5"/>
  <c r="F8" i="5"/>
  <c r="I7" i="5"/>
  <c r="M7" i="5"/>
  <c r="K7" i="5"/>
  <c r="L7" i="5"/>
  <c r="J8" i="5"/>
  <c r="G9" i="5"/>
  <c r="F9" i="5"/>
  <c r="E10" i="5"/>
  <c r="M8" i="5"/>
  <c r="K8" i="5"/>
  <c r="I8" i="5"/>
  <c r="G10" i="5"/>
  <c r="E11" i="5"/>
  <c r="F10" i="5"/>
  <c r="L8" i="5"/>
  <c r="J9" i="5"/>
  <c r="K9" i="5"/>
  <c r="M9" i="5"/>
  <c r="I9" i="5"/>
  <c r="L9" i="5"/>
  <c r="J10" i="5"/>
  <c r="G11" i="5"/>
  <c r="F11" i="5"/>
  <c r="E12" i="5"/>
  <c r="K10" i="5"/>
  <c r="M10" i="5"/>
  <c r="I10" i="5"/>
  <c r="L10" i="5"/>
  <c r="J11" i="5"/>
  <c r="I11" i="5"/>
  <c r="M11" i="5"/>
  <c r="K11" i="5"/>
  <c r="G12" i="5"/>
  <c r="E13" i="5"/>
  <c r="F12" i="5"/>
  <c r="J12" i="5"/>
  <c r="L11" i="5"/>
  <c r="K12" i="5"/>
  <c r="I12" i="5"/>
  <c r="M12" i="5"/>
  <c r="G13" i="5"/>
  <c r="F13" i="5"/>
  <c r="E14" i="5"/>
  <c r="L12" i="5"/>
  <c r="I13" i="5"/>
  <c r="M13" i="5"/>
  <c r="K13" i="5"/>
  <c r="G14" i="5"/>
  <c r="F14" i="5"/>
  <c r="E15" i="5"/>
  <c r="J13" i="5"/>
  <c r="G15" i="5"/>
  <c r="E16" i="5"/>
  <c r="F15" i="5"/>
  <c r="M14" i="5"/>
  <c r="I14" i="5"/>
  <c r="K14" i="5"/>
  <c r="J14" i="5"/>
  <c r="L13" i="5"/>
  <c r="J15" i="5"/>
  <c r="G16" i="5"/>
  <c r="E17" i="5"/>
  <c r="F16" i="5"/>
  <c r="L14" i="5"/>
  <c r="K15" i="5"/>
  <c r="I15" i="5"/>
  <c r="M15" i="5"/>
  <c r="J16" i="5"/>
  <c r="L15" i="5"/>
  <c r="G17" i="5"/>
  <c r="E18" i="5"/>
  <c r="F17" i="5"/>
  <c r="M16" i="5"/>
  <c r="K16" i="5"/>
  <c r="I16" i="5"/>
  <c r="L16" i="5"/>
  <c r="J17" i="5"/>
  <c r="G18" i="5"/>
  <c r="E19" i="5"/>
  <c r="F18" i="5"/>
  <c r="M17" i="5"/>
  <c r="I17" i="5"/>
  <c r="K17" i="5"/>
  <c r="J18" i="5"/>
  <c r="G19" i="5"/>
  <c r="E20" i="5"/>
  <c r="F19" i="5"/>
  <c r="L17" i="5"/>
  <c r="K18" i="5"/>
  <c r="I18" i="5"/>
  <c r="M18" i="5"/>
  <c r="J19" i="5"/>
  <c r="L18" i="5"/>
  <c r="G20" i="5"/>
  <c r="E21" i="5"/>
  <c r="F20" i="5"/>
  <c r="M19" i="5"/>
  <c r="I19" i="5"/>
  <c r="K19" i="5"/>
  <c r="J20" i="5"/>
  <c r="G21" i="5"/>
  <c r="F21" i="5"/>
  <c r="E22" i="5"/>
  <c r="L19" i="5"/>
  <c r="K20" i="5"/>
  <c r="I20" i="5"/>
  <c r="M20" i="5"/>
  <c r="L20" i="5"/>
  <c r="J21" i="5"/>
  <c r="G22" i="5"/>
  <c r="F22" i="5"/>
  <c r="I21" i="5"/>
  <c r="K21" i="5"/>
  <c r="M21" i="5"/>
  <c r="J22" i="5"/>
  <c r="L21" i="5"/>
  <c r="I22" i="5"/>
  <c r="M22" i="5"/>
  <c r="K22" i="5"/>
  <c r="L22" i="5"/>
</calcChain>
</file>

<file path=xl/comments1.xml><?xml version="1.0" encoding="utf-8"?>
<comments xmlns="http://schemas.openxmlformats.org/spreadsheetml/2006/main">
  <authors>
    <author>Auteur</author>
  </authors>
  <commentList>
    <comment ref="H15" authorId="0">
      <text>
        <r>
          <rPr>
            <b/>
            <sz val="9"/>
            <color indexed="81"/>
            <rFont val="Tahoma"/>
            <family val="2"/>
          </rPr>
          <t>Essai à réaliser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8" authorId="0">
      <text>
        <r>
          <rPr>
            <b/>
            <sz val="9"/>
            <color indexed="81"/>
            <rFont val="Tahoma"/>
            <family val="2"/>
          </rPr>
          <t>Valeurs à déterminer expérimentalement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<sst xmlns="http://schemas.openxmlformats.org/spreadsheetml/2006/main" count="156" uniqueCount="123">
  <si>
    <t>Noms :</t>
  </si>
  <si>
    <t>Groupe :</t>
  </si>
  <si>
    <t>Date :</t>
  </si>
  <si>
    <t>Loi d'usure des outils de coupe</t>
  </si>
  <si>
    <t>1) Conditions de coupe</t>
  </si>
  <si>
    <t>N° Essai</t>
  </si>
  <si>
    <t>Vc</t>
  </si>
  <si>
    <t>f</t>
  </si>
  <si>
    <t>ap</t>
  </si>
  <si>
    <t>m/min</t>
  </si>
  <si>
    <t>mm/tr</t>
  </si>
  <si>
    <t>mm</t>
  </si>
  <si>
    <t>2) Évolution de l'usure frontale</t>
  </si>
  <si>
    <t>VB</t>
  </si>
  <si>
    <t>s</t>
  </si>
  <si>
    <t>min</t>
  </si>
  <si>
    <t>Temps d'usinage</t>
  </si>
  <si>
    <t>Erreur sur la mesure de VB</t>
  </si>
  <si>
    <t>Source : http://www.matweb.com/ - Sept. 2012</t>
  </si>
  <si>
    <t>XC48</t>
  </si>
  <si>
    <t>Module d’Young</t>
  </si>
  <si>
    <t>190-210</t>
  </si>
  <si>
    <t>GPa</t>
  </si>
  <si>
    <t>Limite élastique</t>
  </si>
  <si>
    <t>485-585</t>
  </si>
  <si>
    <t>MPa</t>
  </si>
  <si>
    <t>Limite à la rupture</t>
  </si>
  <si>
    <t>515-655</t>
  </si>
  <si>
    <t>1) Plan d'expérience</t>
  </si>
  <si>
    <t>2) Calcul des effets moyens des conditions de coupe</t>
  </si>
  <si>
    <t>Plan partiel</t>
  </si>
  <si>
    <t>ln(T)</t>
  </si>
  <si>
    <t>Eff. moyens</t>
  </si>
  <si>
    <t>Taylor</t>
  </si>
  <si>
    <t>Moyenne :</t>
  </si>
  <si>
    <t>Niveau</t>
  </si>
  <si>
    <t>ln(Vc)</t>
  </si>
  <si>
    <t>ln(f)</t>
  </si>
  <si>
    <t>Effet de Vc</t>
  </si>
  <si>
    <t>Effet de f</t>
  </si>
  <si>
    <t>Coefficients des droites de régression :</t>
  </si>
  <si>
    <t>a</t>
  </si>
  <si>
    <t>Effet moyen de x = a ln(x) + b</t>
  </si>
  <si>
    <t>b</t>
  </si>
  <si>
    <t>K</t>
  </si>
  <si>
    <t>n</t>
  </si>
  <si>
    <t>m</t>
  </si>
  <si>
    <t>l</t>
  </si>
  <si>
    <t>3) Graphe des effets moyens</t>
  </si>
  <si>
    <t>4) Coefficients du modèle de Taylor</t>
  </si>
  <si>
    <r>
      <t>a</t>
    </r>
    <r>
      <rPr>
        <b/>
        <sz val="9"/>
        <color theme="1"/>
        <rFont val="Calibri"/>
        <family val="2"/>
        <scheme val="minor"/>
      </rPr>
      <t>p</t>
    </r>
  </si>
  <si>
    <r>
      <t>a</t>
    </r>
    <r>
      <rPr>
        <b/>
        <sz val="8"/>
        <color theme="1"/>
        <rFont val="Calibri"/>
        <family val="2"/>
        <scheme val="minor"/>
      </rPr>
      <t>p</t>
    </r>
  </si>
  <si>
    <r>
      <t>T</t>
    </r>
    <r>
      <rPr>
        <b/>
        <sz val="8"/>
        <color theme="1"/>
        <rFont val="Calibri"/>
        <family val="2"/>
        <scheme val="minor"/>
      </rPr>
      <t>th</t>
    </r>
  </si>
  <si>
    <t>Ordres de grandeur de quelques propriétés mécaniques du matériau usiné</t>
  </si>
  <si>
    <t>Essai n°4 - COM : XC48 - Plaquette Sandvik SNMG120408-SMR H13A</t>
  </si>
  <si>
    <t>Plan d'essai complet - COM : XC48 - Plaquette Sandvik SNMG120408-SMR H13A</t>
  </si>
  <si>
    <r>
      <t>T</t>
    </r>
    <r>
      <rPr>
        <b/>
        <sz val="8"/>
        <color theme="1"/>
        <rFont val="Calibri"/>
        <family val="2"/>
        <scheme val="minor"/>
      </rPr>
      <t>VB=0,3mm</t>
    </r>
  </si>
  <si>
    <t>Résultats expérimentaux</t>
  </si>
  <si>
    <t>Résultats modèle Taylor</t>
  </si>
  <si>
    <r>
      <t>ln(T</t>
    </r>
    <r>
      <rPr>
        <b/>
        <vertAlign val="subscript"/>
        <sz val="11"/>
        <color theme="1"/>
        <rFont val="Calibri"/>
        <family val="2"/>
        <scheme val="minor"/>
      </rPr>
      <t>PE</t>
    </r>
    <r>
      <rPr>
        <b/>
        <sz val="11"/>
        <color theme="1"/>
        <rFont val="Calibri"/>
        <family val="2"/>
        <scheme val="minor"/>
      </rPr>
      <t>)</t>
    </r>
  </si>
  <si>
    <t>Résultats modèle P.expé</t>
  </si>
  <si>
    <r>
      <t>ln(a</t>
    </r>
    <r>
      <rPr>
        <b/>
        <sz val="8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)</t>
    </r>
  </si>
  <si>
    <r>
      <t>Effet de a</t>
    </r>
    <r>
      <rPr>
        <b/>
        <sz val="8"/>
        <color theme="1"/>
        <rFont val="Calibri"/>
        <family val="2"/>
        <scheme val="minor"/>
      </rPr>
      <t>p</t>
    </r>
  </si>
  <si>
    <t>COUT MINI</t>
  </si>
  <si>
    <t>PROD MAXI</t>
  </si>
  <si>
    <t>DUREE IMP</t>
  </si>
  <si>
    <t>UNITE</t>
  </si>
  <si>
    <t>Durée de l'outil</t>
  </si>
  <si>
    <t>minute</t>
  </si>
  <si>
    <t>Vitesse de coupe</t>
  </si>
  <si>
    <t>Coût de l'usinage</t>
  </si>
  <si>
    <t>Coût d'outillage</t>
  </si>
  <si>
    <t>Coût changement d'arête</t>
  </si>
  <si>
    <t>Coûts annexes</t>
  </si>
  <si>
    <t>Coût global</t>
  </si>
  <si>
    <t>Production horaire</t>
  </si>
  <si>
    <t>pièce / h</t>
  </si>
  <si>
    <t>Nb de pièces/outil</t>
  </si>
  <si>
    <t>Diamètre usiné équivalent</t>
  </si>
  <si>
    <t>DONNEES ECONOMIQUES</t>
  </si>
  <si>
    <t>Temps de changement d'outil</t>
  </si>
  <si>
    <t>profondeur de passe</t>
  </si>
  <si>
    <t>LOI D'USURE DE L'OUTIL</t>
  </si>
  <si>
    <t>CARACTERISTIQUES DE LA PIECE</t>
  </si>
  <si>
    <t>Longueur à usiner équivalente</t>
  </si>
  <si>
    <t>coût minute de la machine</t>
  </si>
  <si>
    <t>coût outil par arête active</t>
  </si>
  <si>
    <t>Temps annexe</t>
  </si>
  <si>
    <t>CONDITIONS DE COUPE</t>
  </si>
  <si>
    <t>avance par tour</t>
  </si>
  <si>
    <t>Modèle de Taylor obtenu</t>
  </si>
  <si>
    <t>RESULTATS D'OPTIMISATION</t>
  </si>
  <si>
    <t>Critère d'optimisation</t>
  </si>
  <si>
    <t>€/min</t>
  </si>
  <si>
    <t>constante</t>
  </si>
  <si>
    <t>exposant ap</t>
  </si>
  <si>
    <t>exposant f</t>
  </si>
  <si>
    <t>exposant Vc</t>
  </si>
  <si>
    <t>€</t>
  </si>
  <si>
    <t>Durée de l'usinage</t>
  </si>
  <si>
    <t>minutes</t>
  </si>
  <si>
    <t>min/pièce</t>
  </si>
  <si>
    <t>DUREE OUTIL IMPOSEE</t>
  </si>
  <si>
    <t>durée imposée</t>
  </si>
  <si>
    <t>€/pièce</t>
  </si>
  <si>
    <t>pièce/outil</t>
  </si>
  <si>
    <t>VC min</t>
  </si>
  <si>
    <t>VC moy</t>
  </si>
  <si>
    <t>VC max</t>
  </si>
  <si>
    <t>Dvc</t>
  </si>
  <si>
    <t>VC</t>
  </si>
  <si>
    <t>Ca</t>
  </si>
  <si>
    <t>Cu</t>
  </si>
  <si>
    <t>Cc</t>
  </si>
  <si>
    <t>Cg</t>
  </si>
  <si>
    <t>Q</t>
  </si>
  <si>
    <t>T</t>
  </si>
  <si>
    <t>tu</t>
  </si>
  <si>
    <t>C=K.ap^l.f^m</t>
  </si>
  <si>
    <t>Co</t>
  </si>
  <si>
    <t>Erreur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</si>
  <si>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Taylor</t>
    </r>
  </si>
  <si>
    <t>erreur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</si>
</sst>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2" fontId="0" fillId="6" borderId="19" xfId="0" applyNumberFormat="1" applyFont="1" applyFill="1" applyBorder="1" applyAlignment="1">
      <alignment horizontal="center" vertical="center" wrapText="1"/>
    </xf>
    <xf numFmtId="2" fontId="0" fillId="6" borderId="23" xfId="0" applyNumberFormat="1" applyFont="1" applyFill="1" applyBorder="1" applyAlignment="1">
      <alignment horizontal="center" vertical="center" wrapText="1"/>
    </xf>
    <xf numFmtId="2" fontId="0" fillId="6" borderId="25" xfId="0" applyNumberFormat="1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0" fillId="8" borderId="12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Border="1" applyAlignment="1"/>
    <xf numFmtId="0" fontId="0" fillId="0" borderId="0" xfId="0" applyBorder="1"/>
    <xf numFmtId="0" fontId="0" fillId="0" borderId="4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2" fontId="0" fillId="6" borderId="42" xfId="0" applyNumberFormat="1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36" xfId="0" applyBorder="1"/>
    <xf numFmtId="0" fontId="0" fillId="0" borderId="31" xfId="0" applyBorder="1"/>
    <xf numFmtId="0" fontId="0" fillId="0" borderId="47" xfId="0" applyBorder="1"/>
    <xf numFmtId="0" fontId="0" fillId="0" borderId="44" xfId="0" applyBorder="1"/>
    <xf numFmtId="0" fontId="0" fillId="0" borderId="28" xfId="0" applyBorder="1"/>
    <xf numFmtId="0" fontId="0" fillId="0" borderId="29" xfId="0" applyBorder="1"/>
    <xf numFmtId="0" fontId="0" fillId="0" borderId="49" xfId="0" applyBorder="1"/>
    <xf numFmtId="0" fontId="0" fillId="0" borderId="50" xfId="0" applyBorder="1"/>
    <xf numFmtId="0" fontId="0" fillId="0" borderId="52" xfId="0" applyBorder="1"/>
    <xf numFmtId="0" fontId="0" fillId="8" borderId="19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0" borderId="42" xfId="0" applyBorder="1"/>
    <xf numFmtId="0" fontId="0" fillId="0" borderId="33" xfId="0" applyBorder="1"/>
    <xf numFmtId="0" fontId="0" fillId="8" borderId="36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0" borderId="50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0" fillId="0" borderId="59" xfId="0" applyBorder="1"/>
    <xf numFmtId="0" fontId="0" fillId="0" borderId="30" xfId="0" applyBorder="1"/>
    <xf numFmtId="0" fontId="0" fillId="0" borderId="43" xfId="0" applyBorder="1"/>
    <xf numFmtId="2" fontId="0" fillId="0" borderId="3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49" xfId="0" applyNumberForma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0" fillId="0" borderId="56" xfId="0" applyBorder="1"/>
    <xf numFmtId="0" fontId="0" fillId="0" borderId="54" xfId="0" applyFill="1" applyBorder="1" applyAlignment="1">
      <alignment horizontal="center"/>
    </xf>
    <xf numFmtId="0" fontId="0" fillId="6" borderId="55" xfId="0" applyFill="1" applyBorder="1" applyAlignment="1">
      <alignment horizontal="center" vertical="center"/>
    </xf>
    <xf numFmtId="0" fontId="0" fillId="4" borderId="12" xfId="0" applyFill="1" applyBorder="1" applyAlignment="1">
      <alignment horizontal="right"/>
    </xf>
    <xf numFmtId="0" fontId="0" fillId="4" borderId="39" xfId="0" applyFill="1" applyBorder="1" applyAlignment="1">
      <alignment horizontal="center" vertical="center"/>
    </xf>
    <xf numFmtId="0" fontId="0" fillId="4" borderId="12" xfId="0" applyFill="1" applyBorder="1"/>
    <xf numFmtId="164" fontId="0" fillId="0" borderId="0" xfId="0" applyNumberFormat="1" applyAlignment="1">
      <alignment horizontal="center" vertical="center"/>
    </xf>
    <xf numFmtId="11" fontId="0" fillId="0" borderId="0" xfId="0" applyNumberFormat="1"/>
    <xf numFmtId="165" fontId="0" fillId="0" borderId="0" xfId="0" applyNumberFormat="1"/>
    <xf numFmtId="0" fontId="1" fillId="7" borderId="16" xfId="0" applyFont="1" applyFill="1" applyBorder="1" applyAlignment="1">
      <alignment horizontal="center" vertical="center" wrapText="1"/>
    </xf>
    <xf numFmtId="2" fontId="0" fillId="6" borderId="15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0" fillId="7" borderId="40" xfId="0" applyFill="1" applyBorder="1" applyAlignment="1"/>
    <xf numFmtId="0" fontId="0" fillId="7" borderId="41" xfId="0" applyFill="1" applyBorder="1" applyAlignment="1"/>
    <xf numFmtId="2" fontId="0" fillId="8" borderId="3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2" fontId="0" fillId="8" borderId="1" xfId="0" applyNumberFormat="1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2" fontId="0" fillId="8" borderId="19" xfId="0" applyNumberFormat="1" applyFont="1" applyFill="1" applyBorder="1" applyAlignment="1">
      <alignment horizontal="center" vertical="center" wrapText="1"/>
    </xf>
    <xf numFmtId="2" fontId="0" fillId="8" borderId="36" xfId="0" applyNumberFormat="1" applyFont="1" applyFill="1" applyBorder="1" applyAlignment="1">
      <alignment horizontal="center" vertical="center" wrapText="1"/>
    </xf>
    <xf numFmtId="2" fontId="0" fillId="8" borderId="45" xfId="0" applyNumberFormat="1" applyFont="1" applyFill="1" applyBorder="1" applyAlignment="1">
      <alignment horizontal="center" vertical="center" wrapText="1"/>
    </xf>
    <xf numFmtId="0" fontId="1" fillId="8" borderId="60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0" fillId="8" borderId="2" xfId="0" applyNumberFormat="1" applyFont="1" applyFill="1" applyBorder="1" applyAlignment="1">
      <alignment horizontal="center" vertical="center" wrapText="1"/>
    </xf>
    <xf numFmtId="2" fontId="0" fillId="8" borderId="61" xfId="0" applyNumberFormat="1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2" fontId="0" fillId="7" borderId="19" xfId="0" applyNumberFormat="1" applyFont="1" applyFill="1" applyBorder="1" applyAlignment="1">
      <alignment horizontal="center" vertical="center" wrapText="1"/>
    </xf>
    <xf numFmtId="0" fontId="0" fillId="7" borderId="20" xfId="0" applyFont="1" applyFill="1" applyBorder="1" applyAlignment="1">
      <alignment horizontal="center" vertical="center" wrapText="1"/>
    </xf>
    <xf numFmtId="2" fontId="0" fillId="7" borderId="36" xfId="0" applyNumberFormat="1" applyFont="1" applyFill="1" applyBorder="1" applyAlignment="1">
      <alignment horizontal="center" vertical="center" wrapText="1"/>
    </xf>
    <xf numFmtId="0" fontId="0" fillId="7" borderId="31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/>
    </xf>
    <xf numFmtId="164" fontId="0" fillId="11" borderId="50" xfId="0" applyNumberFormat="1" applyFill="1" applyBorder="1" applyAlignment="1">
      <alignment horizontal="center" vertical="center"/>
    </xf>
    <xf numFmtId="164" fontId="0" fillId="11" borderId="29" xfId="0" applyNumberFormat="1" applyFill="1" applyBorder="1" applyAlignment="1">
      <alignment horizontal="center" vertical="center"/>
    </xf>
    <xf numFmtId="2" fontId="0" fillId="11" borderId="30" xfId="0" applyNumberFormat="1" applyFill="1" applyBorder="1" applyAlignment="1">
      <alignment horizontal="center" vertical="center"/>
    </xf>
    <xf numFmtId="2" fontId="0" fillId="11" borderId="28" xfId="0" applyNumberFormat="1" applyFill="1" applyBorder="1" applyAlignment="1">
      <alignment horizontal="center" vertical="center"/>
    </xf>
    <xf numFmtId="2" fontId="0" fillId="11" borderId="29" xfId="0" applyNumberFormat="1" applyFill="1" applyBorder="1" applyAlignment="1">
      <alignment horizontal="center" vertical="center"/>
    </xf>
    <xf numFmtId="2" fontId="0" fillId="11" borderId="49" xfId="0" applyNumberFormat="1" applyFill="1" applyBorder="1" applyAlignment="1">
      <alignment horizontal="center" vertical="center"/>
    </xf>
    <xf numFmtId="164" fontId="0" fillId="11" borderId="49" xfId="0" applyNumberFormat="1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164" fontId="0" fillId="13" borderId="50" xfId="0" applyNumberFormat="1" applyFill="1" applyBorder="1" applyAlignment="1">
      <alignment horizontal="center" vertical="center"/>
    </xf>
    <xf numFmtId="164" fontId="0" fillId="13" borderId="29" xfId="0" applyNumberFormat="1" applyFill="1" applyBorder="1" applyAlignment="1">
      <alignment horizontal="center" vertical="center"/>
    </xf>
    <xf numFmtId="2" fontId="0" fillId="13" borderId="30" xfId="0" applyNumberFormat="1" applyFill="1" applyBorder="1" applyAlignment="1">
      <alignment horizontal="center" vertical="center"/>
    </xf>
    <xf numFmtId="2" fontId="0" fillId="13" borderId="28" xfId="0" applyNumberFormat="1" applyFill="1" applyBorder="1" applyAlignment="1">
      <alignment horizontal="center" vertical="center"/>
    </xf>
    <xf numFmtId="2" fontId="0" fillId="13" borderId="29" xfId="0" applyNumberFormat="1" applyFill="1" applyBorder="1" applyAlignment="1">
      <alignment horizontal="center" vertical="center"/>
    </xf>
    <xf numFmtId="2" fontId="0" fillId="13" borderId="49" xfId="0" applyNumberFormat="1" applyFill="1" applyBorder="1" applyAlignment="1">
      <alignment horizontal="center" vertical="center"/>
    </xf>
    <xf numFmtId="164" fontId="0" fillId="13" borderId="49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2" fontId="2" fillId="7" borderId="1" xfId="0" applyNumberFormat="1" applyFont="1" applyFill="1" applyBorder="1"/>
    <xf numFmtId="0" fontId="0" fillId="8" borderId="1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8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8" borderId="40" xfId="0" applyFill="1" applyBorder="1" applyAlignment="1">
      <alignment horizontal="center"/>
    </xf>
    <xf numFmtId="0" fontId="0" fillId="8" borderId="53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1" fillId="8" borderId="16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4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5" borderId="37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53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8" borderId="43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8" borderId="58" xfId="0" applyFill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'Modèle de durée de vie'!$F$25</c:f>
              <c:strCache>
                <c:ptCount val="1"/>
                <c:pt idx="0">
                  <c:v>Effet de Vc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'Modèle de durée de vie'!$B$26:$B$28</c:f>
              <c:numCache>
                <c:formatCode>0.00</c:formatCode>
                <c:ptCount val="3"/>
              </c:numCache>
            </c:numRef>
          </c:xVal>
          <c:yVal>
            <c:numRef>
              <c:f>'Modèle de durée de vie'!$F$26:$F$28</c:f>
              <c:numCache>
                <c:formatCode>0.00</c:formatCode>
                <c:ptCount val="3"/>
                <c:pt idx="0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2468440"/>
        <c:axId val="-2102305368"/>
      </c:scatterChart>
      <c:valAx>
        <c:axId val="-2102468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ln(Vc)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2305368"/>
        <c:crosses val="autoZero"/>
        <c:crossBetween val="midCat"/>
      </c:valAx>
      <c:valAx>
        <c:axId val="-21023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EVc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2468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'Modèle de durée de vie'!$G$25</c:f>
              <c:strCache>
                <c:ptCount val="1"/>
                <c:pt idx="0">
                  <c:v>Effet de 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'Modèle de durée de vie'!$C$26:$C$28</c:f>
              <c:numCache>
                <c:formatCode>0.00</c:formatCode>
                <c:ptCount val="3"/>
              </c:numCache>
            </c:numRef>
          </c:xVal>
          <c:yVal>
            <c:numRef>
              <c:f>'Modèle de durée de vie'!$G$26:$G$28</c:f>
              <c:numCache>
                <c:formatCode>0.00</c:formatCode>
                <c:ptCount val="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3657320"/>
        <c:axId val="-2053309240"/>
      </c:scatterChart>
      <c:valAx>
        <c:axId val="-2053657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ln(f)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309240"/>
        <c:crosses val="autoZero"/>
        <c:crossBetween val="midCat"/>
      </c:valAx>
      <c:valAx>
        <c:axId val="-205330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657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866806649168854"/>
          <c:y val="0.171712962962963"/>
          <c:w val="0.860611111111111"/>
          <c:h val="0.706967410323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'Modèle de durée de vie'!$H$25</c:f>
              <c:strCache>
                <c:ptCount val="1"/>
                <c:pt idx="0">
                  <c:v>Effet de ap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433486162330974"/>
                  <c:y val="0.06022636059381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'Modèle de durée de vie'!$D$26:$D$28</c:f>
              <c:numCache>
                <c:formatCode>0.00</c:formatCode>
                <c:ptCount val="3"/>
              </c:numCache>
            </c:numRef>
          </c:xVal>
          <c:yVal>
            <c:numRef>
              <c:f>'Modèle de durée de vie'!$H$26:$H$28</c:f>
              <c:numCache>
                <c:formatCode>0.00</c:formatCode>
                <c:ptCount val="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3630184"/>
        <c:axId val="-2053613112"/>
      </c:scatterChart>
      <c:valAx>
        <c:axId val="-205363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ln(ap)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613112"/>
        <c:crosses val="autoZero"/>
        <c:crossBetween val="midCat"/>
      </c:valAx>
      <c:valAx>
        <c:axId val="-205361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Eap</a:t>
                </a:r>
              </a:p>
            </c:rich>
          </c:tx>
          <c:layout>
            <c:manualLayout>
              <c:xMode val="edge"/>
              <c:yMode val="edge"/>
              <c:x val="0.0361111111111111"/>
              <c:y val="0.41193277923592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630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/>
              <a:t>Évolution de l'usure frontale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'Évolution de l''usure'!$D$18</c:f>
                <c:numCache>
                  <c:formatCode>General</c:formatCode>
                  <c:ptCount val="1"/>
                </c:numCache>
              </c:numRef>
            </c:plus>
            <c:minus>
              <c:numRef>
                <c:f>'Évolution de l''usure'!$D$18</c:f>
                <c:numCache>
                  <c:formatCode>General</c:formatCode>
                  <c:ptCount val="1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'Évolution de l''usure'!$B$18:$B$50</c:f>
              <c:numCache>
                <c:formatCode>0.00</c:formatCode>
                <c:ptCount val="33"/>
                <c:pt idx="0">
                  <c:v>0.0</c:v>
                </c:pt>
                <c:pt idx="1">
                  <c:v>0.166666666666667</c:v>
                </c:pt>
                <c:pt idx="2">
                  <c:v>0.333333333333333</c:v>
                </c:pt>
                <c:pt idx="3">
                  <c:v>0.5</c:v>
                </c:pt>
                <c:pt idx="4">
                  <c:v>0.666666666666667</c:v>
                </c:pt>
                <c:pt idx="5">
                  <c:v>0.833333333333333</c:v>
                </c:pt>
                <c:pt idx="6">
                  <c:v>1.0</c:v>
                </c:pt>
                <c:pt idx="7">
                  <c:v>1.166666666666667</c:v>
                </c:pt>
                <c:pt idx="8">
                  <c:v>1.333333333333333</c:v>
                </c:pt>
                <c:pt idx="9">
                  <c:v>1.5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</c:numCache>
            </c:numRef>
          </c:xVal>
          <c:yVal>
            <c:numRef>
              <c:f>'Évolution de l''usure'!$C$18:$C$50</c:f>
              <c:numCache>
                <c:formatCode>General</c:formatCode>
                <c:ptCount val="33"/>
                <c:pt idx="0">
                  <c:v>0.0</c:v>
                </c:pt>
                <c:pt idx="1">
                  <c:v>0.1</c:v>
                </c:pt>
                <c:pt idx="2">
                  <c:v>0.13</c:v>
                </c:pt>
                <c:pt idx="3">
                  <c:v>0.17</c:v>
                </c:pt>
                <c:pt idx="4">
                  <c:v>0.19</c:v>
                </c:pt>
                <c:pt idx="5">
                  <c:v>0.21</c:v>
                </c:pt>
                <c:pt idx="6">
                  <c:v>0.24</c:v>
                </c:pt>
                <c:pt idx="7">
                  <c:v>0.27</c:v>
                </c:pt>
                <c:pt idx="8">
                  <c:v>0.28</c:v>
                </c:pt>
                <c:pt idx="9">
                  <c:v>0.31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1950968"/>
        <c:axId val="-2053672072"/>
      </c:scatterChart>
      <c:valAx>
        <c:axId val="-2071950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/>
                  <a:t>Temps d'usinage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672072"/>
        <c:crosses val="autoZero"/>
        <c:crossBetween val="midCat"/>
      </c:valAx>
      <c:valAx>
        <c:axId val="-2053672072"/>
        <c:scaling>
          <c:orientation val="minMax"/>
          <c:max val="0.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/>
                  <a:t>VB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1950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coûts et production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CalculPourGraphe!$H$1</c:f>
              <c:strCache>
                <c:ptCount val="1"/>
                <c:pt idx="0">
                  <c:v>Ca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CalculPourGraphe!$E$2:$E$22</c:f>
              <c:numCache>
                <c:formatCode>0.0</c:formatCode>
                <c:ptCount val="21"/>
                <c:pt idx="0">
                  <c:v>10.0</c:v>
                </c:pt>
                <c:pt idx="1">
                  <c:v>16.38316329661831</c:v>
                </c:pt>
                <c:pt idx="2">
                  <c:v>22.76632659323661</c:v>
                </c:pt>
                <c:pt idx="3">
                  <c:v>29.14948988985492</c:v>
                </c:pt>
                <c:pt idx="4">
                  <c:v>35.53265318647322</c:v>
                </c:pt>
                <c:pt idx="5">
                  <c:v>41.91581648309153</c:v>
                </c:pt>
                <c:pt idx="6">
                  <c:v>48.29897977970983</c:v>
                </c:pt>
                <c:pt idx="7">
                  <c:v>54.68214307632814</c:v>
                </c:pt>
                <c:pt idx="8">
                  <c:v>61.06530637294645</c:v>
                </c:pt>
                <c:pt idx="9">
                  <c:v>67.44846966956475</c:v>
                </c:pt>
                <c:pt idx="10">
                  <c:v>73.83163296618306</c:v>
                </c:pt>
                <c:pt idx="11">
                  <c:v>80.21479626280137</c:v>
                </c:pt>
                <c:pt idx="12">
                  <c:v>86.59795955941967</c:v>
                </c:pt>
                <c:pt idx="13">
                  <c:v>92.98112285603798</c:v>
                </c:pt>
                <c:pt idx="14">
                  <c:v>99.36428615265629</c:v>
                </c:pt>
                <c:pt idx="15">
                  <c:v>105.7474494492746</c:v>
                </c:pt>
                <c:pt idx="16">
                  <c:v>112.130612745893</c:v>
                </c:pt>
                <c:pt idx="17">
                  <c:v>118.5137760425112</c:v>
                </c:pt>
                <c:pt idx="18">
                  <c:v>124.8969393391295</c:v>
                </c:pt>
                <c:pt idx="19">
                  <c:v>131.2801026357478</c:v>
                </c:pt>
                <c:pt idx="20">
                  <c:v>137.6632659323661</c:v>
                </c:pt>
              </c:numCache>
            </c:numRef>
          </c:xVal>
          <c:yVal>
            <c:numRef>
              <c:f>CalculPourGraphe!$H$2:$H$22</c:f>
              <c:numCache>
                <c:formatCode>General</c:formatCode>
                <c:ptCount val="21"/>
                <c:pt idx="0">
                  <c:v>1.2654</c:v>
                </c:pt>
                <c:pt idx="1">
                  <c:v>1.2654</c:v>
                </c:pt>
                <c:pt idx="2">
                  <c:v>1.2654</c:v>
                </c:pt>
                <c:pt idx="3">
                  <c:v>1.2654</c:v>
                </c:pt>
                <c:pt idx="4">
                  <c:v>1.2654</c:v>
                </c:pt>
                <c:pt idx="5">
                  <c:v>1.2654</c:v>
                </c:pt>
                <c:pt idx="6">
                  <c:v>1.2654</c:v>
                </c:pt>
                <c:pt idx="7">
                  <c:v>1.2654</c:v>
                </c:pt>
                <c:pt idx="8">
                  <c:v>1.2654</c:v>
                </c:pt>
                <c:pt idx="9">
                  <c:v>1.2654</c:v>
                </c:pt>
                <c:pt idx="10">
                  <c:v>1.2654</c:v>
                </c:pt>
                <c:pt idx="11">
                  <c:v>1.2654</c:v>
                </c:pt>
                <c:pt idx="12">
                  <c:v>1.2654</c:v>
                </c:pt>
                <c:pt idx="13">
                  <c:v>1.2654</c:v>
                </c:pt>
                <c:pt idx="14">
                  <c:v>1.2654</c:v>
                </c:pt>
                <c:pt idx="15">
                  <c:v>1.2654</c:v>
                </c:pt>
                <c:pt idx="16">
                  <c:v>1.2654</c:v>
                </c:pt>
                <c:pt idx="17">
                  <c:v>1.2654</c:v>
                </c:pt>
                <c:pt idx="18">
                  <c:v>1.2654</c:v>
                </c:pt>
                <c:pt idx="19">
                  <c:v>1.2654</c:v>
                </c:pt>
                <c:pt idx="20">
                  <c:v>1.2654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CalculPourGraphe!$I$1</c:f>
              <c:strCache>
                <c:ptCount val="1"/>
                <c:pt idx="0">
                  <c:v>Cu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CalculPourGraphe!$E$2:$E$22</c:f>
              <c:numCache>
                <c:formatCode>0.0</c:formatCode>
                <c:ptCount val="21"/>
                <c:pt idx="0">
                  <c:v>10.0</c:v>
                </c:pt>
                <c:pt idx="1">
                  <c:v>16.38316329661831</c:v>
                </c:pt>
                <c:pt idx="2">
                  <c:v>22.76632659323661</c:v>
                </c:pt>
                <c:pt idx="3">
                  <c:v>29.14948988985492</c:v>
                </c:pt>
                <c:pt idx="4">
                  <c:v>35.53265318647322</c:v>
                </c:pt>
                <c:pt idx="5">
                  <c:v>41.91581648309153</c:v>
                </c:pt>
                <c:pt idx="6">
                  <c:v>48.29897977970983</c:v>
                </c:pt>
                <c:pt idx="7">
                  <c:v>54.68214307632814</c:v>
                </c:pt>
                <c:pt idx="8">
                  <c:v>61.06530637294645</c:v>
                </c:pt>
                <c:pt idx="9">
                  <c:v>67.44846966956475</c:v>
                </c:pt>
                <c:pt idx="10">
                  <c:v>73.83163296618306</c:v>
                </c:pt>
                <c:pt idx="11">
                  <c:v>80.21479626280137</c:v>
                </c:pt>
                <c:pt idx="12">
                  <c:v>86.59795955941967</c:v>
                </c:pt>
                <c:pt idx="13">
                  <c:v>92.98112285603798</c:v>
                </c:pt>
                <c:pt idx="14">
                  <c:v>99.36428615265629</c:v>
                </c:pt>
                <c:pt idx="15">
                  <c:v>105.7474494492746</c:v>
                </c:pt>
                <c:pt idx="16">
                  <c:v>112.130612745893</c:v>
                </c:pt>
                <c:pt idx="17">
                  <c:v>118.5137760425112</c:v>
                </c:pt>
                <c:pt idx="18">
                  <c:v>124.8969393391295</c:v>
                </c:pt>
                <c:pt idx="19">
                  <c:v>131.2801026357478</c:v>
                </c:pt>
                <c:pt idx="20">
                  <c:v>137.6632659323661</c:v>
                </c:pt>
              </c:numCache>
            </c:numRef>
          </c:xVal>
          <c:yVal>
            <c:numRef>
              <c:f>CalculPourGraphe!$I$2:$I$22</c:f>
              <c:numCache>
                <c:formatCode>0.00E+00</c:formatCode>
                <c:ptCount val="21"/>
                <c:pt idx="0">
                  <c:v>38.49833301415075</c:v>
                </c:pt>
                <c:pt idx="1">
                  <c:v>23.4987177489083</c:v>
                </c:pt>
                <c:pt idx="2">
                  <c:v>16.91020852946377</c:v>
                </c:pt>
                <c:pt idx="3">
                  <c:v>13.20720642440799</c:v>
                </c:pt>
                <c:pt idx="4">
                  <c:v>10.8346350642925</c:v>
                </c:pt>
                <c:pt idx="5">
                  <c:v>9.184679255784184</c:v>
                </c:pt>
                <c:pt idx="6">
                  <c:v>7.970837725711903</c:v>
                </c:pt>
                <c:pt idx="7">
                  <c:v>7.040384821862744</c:v>
                </c:pt>
                <c:pt idx="8">
                  <c:v>6.30445260996947</c:v>
                </c:pt>
                <c:pt idx="9">
                  <c:v>5.707814158387441</c:v>
                </c:pt>
                <c:pt idx="10">
                  <c:v>5.214341260985527</c:v>
                </c:pt>
                <c:pt idx="11">
                  <c:v>4.799405447346861</c:v>
                </c:pt>
                <c:pt idx="12">
                  <c:v>4.44563973678097</c:v>
                </c:pt>
                <c:pt idx="13">
                  <c:v>4.140446128377849</c:v>
                </c:pt>
                <c:pt idx="14">
                  <c:v>3.874463804329518</c:v>
                </c:pt>
                <c:pt idx="15">
                  <c:v>3.640592110225581</c:v>
                </c:pt>
                <c:pt idx="16">
                  <c:v>3.433347243129274</c:v>
                </c:pt>
                <c:pt idx="17">
                  <c:v>3.248426832703508</c:v>
                </c:pt>
                <c:pt idx="18">
                  <c:v>3.082408041210458</c:v>
                </c:pt>
                <c:pt idx="19">
                  <c:v>2.932533738259555</c:v>
                </c:pt>
                <c:pt idx="20">
                  <c:v>2.796558163385791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CalculPourGraphe!$J$1</c:f>
              <c:strCache>
                <c:ptCount val="1"/>
                <c:pt idx="0">
                  <c:v>Co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CalculPourGraphe!$E$2:$E$22</c:f>
              <c:numCache>
                <c:formatCode>0.0</c:formatCode>
                <c:ptCount val="21"/>
                <c:pt idx="0">
                  <c:v>10.0</c:v>
                </c:pt>
                <c:pt idx="1">
                  <c:v>16.38316329661831</c:v>
                </c:pt>
                <c:pt idx="2">
                  <c:v>22.76632659323661</c:v>
                </c:pt>
                <c:pt idx="3">
                  <c:v>29.14948988985492</c:v>
                </c:pt>
                <c:pt idx="4">
                  <c:v>35.53265318647322</c:v>
                </c:pt>
                <c:pt idx="5">
                  <c:v>41.91581648309153</c:v>
                </c:pt>
                <c:pt idx="6">
                  <c:v>48.29897977970983</c:v>
                </c:pt>
                <c:pt idx="7">
                  <c:v>54.68214307632814</c:v>
                </c:pt>
                <c:pt idx="8">
                  <c:v>61.06530637294645</c:v>
                </c:pt>
                <c:pt idx="9">
                  <c:v>67.44846966956475</c:v>
                </c:pt>
                <c:pt idx="10">
                  <c:v>73.83163296618306</c:v>
                </c:pt>
                <c:pt idx="11">
                  <c:v>80.21479626280137</c:v>
                </c:pt>
                <c:pt idx="12">
                  <c:v>86.59795955941967</c:v>
                </c:pt>
                <c:pt idx="13">
                  <c:v>92.98112285603798</c:v>
                </c:pt>
                <c:pt idx="14">
                  <c:v>99.36428615265629</c:v>
                </c:pt>
                <c:pt idx="15">
                  <c:v>105.7474494492746</c:v>
                </c:pt>
                <c:pt idx="16">
                  <c:v>112.130612745893</c:v>
                </c:pt>
                <c:pt idx="17">
                  <c:v>118.5137760425112</c:v>
                </c:pt>
                <c:pt idx="18">
                  <c:v>124.8969393391295</c:v>
                </c:pt>
                <c:pt idx="19">
                  <c:v>131.2801026357478</c:v>
                </c:pt>
                <c:pt idx="20">
                  <c:v>137.6632659323661</c:v>
                </c:pt>
              </c:numCache>
            </c:numRef>
          </c:xVal>
          <c:yVal>
            <c:numRef>
              <c:f>CalculPourGraphe!$J$2:$J$22</c:f>
              <c:numCache>
                <c:formatCode>0.00E+00</c:formatCode>
                <c:ptCount val="21"/>
                <c:pt idx="0">
                  <c:v>0.00702334453636534</c:v>
                </c:pt>
                <c:pt idx="1">
                  <c:v>0.0308842638285736</c:v>
                </c:pt>
                <c:pt idx="2">
                  <c:v>0.0828748697328062</c:v>
                </c:pt>
                <c:pt idx="3">
                  <c:v>0.173954973848103</c:v>
                </c:pt>
                <c:pt idx="4">
                  <c:v>0.315084387773505</c:v>
                </c:pt>
                <c:pt idx="5">
                  <c:v>0.517222923108053</c:v>
                </c:pt>
                <c:pt idx="6">
                  <c:v>0.791330391450785</c:v>
                </c:pt>
                <c:pt idx="7">
                  <c:v>1.148366604400744</c:v>
                </c:pt>
                <c:pt idx="8">
                  <c:v>1.599291373556968</c:v>
                </c:pt>
                <c:pt idx="9">
                  <c:v>2.155064510518499</c:v>
                </c:pt>
                <c:pt idx="10">
                  <c:v>2.826645826884377</c:v>
                </c:pt>
                <c:pt idx="11">
                  <c:v>3.624995134253641</c:v>
                </c:pt>
                <c:pt idx="12">
                  <c:v>4.561072244225334</c:v>
                </c:pt>
                <c:pt idx="13">
                  <c:v>5.645836968398493</c:v>
                </c:pt>
                <c:pt idx="14">
                  <c:v>6.89024911837216</c:v>
                </c:pt>
                <c:pt idx="15">
                  <c:v>8.305268505745374</c:v>
                </c:pt>
                <c:pt idx="16">
                  <c:v>9.901854942117179</c:v>
                </c:pt>
                <c:pt idx="17">
                  <c:v>11.69096823908661</c:v>
                </c:pt>
                <c:pt idx="18">
                  <c:v>13.68356820825272</c:v>
                </c:pt>
                <c:pt idx="19">
                  <c:v>15.89061466121453</c:v>
                </c:pt>
                <c:pt idx="20">
                  <c:v>18.32306740957108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CalculPourGraphe!$K$1</c:f>
              <c:strCache>
                <c:ptCount val="1"/>
                <c:pt idx="0">
                  <c:v>Cc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CalculPourGraphe!$E$2:$E$22</c:f>
              <c:numCache>
                <c:formatCode>0.0</c:formatCode>
                <c:ptCount val="21"/>
                <c:pt idx="0">
                  <c:v>10.0</c:v>
                </c:pt>
                <c:pt idx="1">
                  <c:v>16.38316329661831</c:v>
                </c:pt>
                <c:pt idx="2">
                  <c:v>22.76632659323661</c:v>
                </c:pt>
                <c:pt idx="3">
                  <c:v>29.14948988985492</c:v>
                </c:pt>
                <c:pt idx="4">
                  <c:v>35.53265318647322</c:v>
                </c:pt>
                <c:pt idx="5">
                  <c:v>41.91581648309153</c:v>
                </c:pt>
                <c:pt idx="6">
                  <c:v>48.29897977970983</c:v>
                </c:pt>
                <c:pt idx="7">
                  <c:v>54.68214307632814</c:v>
                </c:pt>
                <c:pt idx="8">
                  <c:v>61.06530637294645</c:v>
                </c:pt>
                <c:pt idx="9">
                  <c:v>67.44846966956475</c:v>
                </c:pt>
                <c:pt idx="10">
                  <c:v>73.83163296618306</c:v>
                </c:pt>
                <c:pt idx="11">
                  <c:v>80.21479626280137</c:v>
                </c:pt>
                <c:pt idx="12">
                  <c:v>86.59795955941967</c:v>
                </c:pt>
                <c:pt idx="13">
                  <c:v>92.98112285603798</c:v>
                </c:pt>
                <c:pt idx="14">
                  <c:v>99.36428615265629</c:v>
                </c:pt>
                <c:pt idx="15">
                  <c:v>105.7474494492746</c:v>
                </c:pt>
                <c:pt idx="16">
                  <c:v>112.130612745893</c:v>
                </c:pt>
                <c:pt idx="17">
                  <c:v>118.5137760425112</c:v>
                </c:pt>
                <c:pt idx="18">
                  <c:v>124.8969393391295</c:v>
                </c:pt>
                <c:pt idx="19">
                  <c:v>131.2801026357478</c:v>
                </c:pt>
                <c:pt idx="20">
                  <c:v>137.6632659323661</c:v>
                </c:pt>
              </c:numCache>
            </c:numRef>
          </c:xVal>
          <c:yVal>
            <c:numRef>
              <c:f>CalculPourGraphe!$K$2:$K$22</c:f>
              <c:numCache>
                <c:formatCode>0.00E+00</c:formatCode>
                <c:ptCount val="21"/>
                <c:pt idx="0">
                  <c:v>0.00571700245260139</c:v>
                </c:pt>
                <c:pt idx="1">
                  <c:v>0.0251397907564589</c:v>
                </c:pt>
                <c:pt idx="2">
                  <c:v>0.0674601439625042</c:v>
                </c:pt>
                <c:pt idx="3">
                  <c:v>0.141599348712356</c:v>
                </c:pt>
                <c:pt idx="4">
                  <c:v>0.256478691647633</c:v>
                </c:pt>
                <c:pt idx="5">
                  <c:v>0.421019459409955</c:v>
                </c:pt>
                <c:pt idx="6">
                  <c:v>0.644142938640939</c:v>
                </c:pt>
                <c:pt idx="7">
                  <c:v>0.934770415982205</c:v>
                </c:pt>
                <c:pt idx="8">
                  <c:v>1.301823178075372</c:v>
                </c:pt>
                <c:pt idx="9">
                  <c:v>1.754222511562058</c:v>
                </c:pt>
                <c:pt idx="10">
                  <c:v>2.300889703083882</c:v>
                </c:pt>
                <c:pt idx="11">
                  <c:v>2.950746039282464</c:v>
                </c:pt>
                <c:pt idx="12">
                  <c:v>3.712712806799421</c:v>
                </c:pt>
                <c:pt idx="13">
                  <c:v>4.595711292276373</c:v>
                </c:pt>
                <c:pt idx="14">
                  <c:v>5.608662782354937</c:v>
                </c:pt>
                <c:pt idx="15">
                  <c:v>6.760488563676734</c:v>
                </c:pt>
                <c:pt idx="16">
                  <c:v>8.060109922883382</c:v>
                </c:pt>
                <c:pt idx="17">
                  <c:v>9.516448146616501</c:v>
                </c:pt>
                <c:pt idx="18">
                  <c:v>11.13842452151771</c:v>
                </c:pt>
                <c:pt idx="19">
                  <c:v>12.93496033422863</c:v>
                </c:pt>
                <c:pt idx="20">
                  <c:v>14.91497687139086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CalculPourGraphe!$L$1</c:f>
              <c:strCache>
                <c:ptCount val="1"/>
                <c:pt idx="0">
                  <c:v>Cg</c:v>
                </c:pt>
              </c:strCache>
            </c:strRef>
          </c:tx>
          <c:spPr>
            <a:ln w="38100" cap="rnd" cmpd="sng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CalculPourGraphe!$E$2:$E$22</c:f>
              <c:numCache>
                <c:formatCode>0.0</c:formatCode>
                <c:ptCount val="21"/>
                <c:pt idx="0">
                  <c:v>10.0</c:v>
                </c:pt>
                <c:pt idx="1">
                  <c:v>16.38316329661831</c:v>
                </c:pt>
                <c:pt idx="2">
                  <c:v>22.76632659323661</c:v>
                </c:pt>
                <c:pt idx="3">
                  <c:v>29.14948988985492</c:v>
                </c:pt>
                <c:pt idx="4">
                  <c:v>35.53265318647322</c:v>
                </c:pt>
                <c:pt idx="5">
                  <c:v>41.91581648309153</c:v>
                </c:pt>
                <c:pt idx="6">
                  <c:v>48.29897977970983</c:v>
                </c:pt>
                <c:pt idx="7">
                  <c:v>54.68214307632814</c:v>
                </c:pt>
                <c:pt idx="8">
                  <c:v>61.06530637294645</c:v>
                </c:pt>
                <c:pt idx="9">
                  <c:v>67.44846966956475</c:v>
                </c:pt>
                <c:pt idx="10">
                  <c:v>73.83163296618306</c:v>
                </c:pt>
                <c:pt idx="11">
                  <c:v>80.21479626280137</c:v>
                </c:pt>
                <c:pt idx="12">
                  <c:v>86.59795955941967</c:v>
                </c:pt>
                <c:pt idx="13">
                  <c:v>92.98112285603798</c:v>
                </c:pt>
                <c:pt idx="14">
                  <c:v>99.36428615265629</c:v>
                </c:pt>
                <c:pt idx="15">
                  <c:v>105.7474494492746</c:v>
                </c:pt>
                <c:pt idx="16">
                  <c:v>112.130612745893</c:v>
                </c:pt>
                <c:pt idx="17">
                  <c:v>118.5137760425112</c:v>
                </c:pt>
                <c:pt idx="18">
                  <c:v>124.8969393391295</c:v>
                </c:pt>
                <c:pt idx="19">
                  <c:v>131.2801026357478</c:v>
                </c:pt>
                <c:pt idx="20">
                  <c:v>137.6632659323661</c:v>
                </c:pt>
              </c:numCache>
            </c:numRef>
          </c:xVal>
          <c:yVal>
            <c:numRef>
              <c:f>CalculPourGraphe!$L$2:$L$22</c:f>
              <c:numCache>
                <c:formatCode>General</c:formatCode>
                <c:ptCount val="21"/>
                <c:pt idx="0">
                  <c:v>39.77647336113972</c:v>
                </c:pt>
                <c:pt idx="1">
                  <c:v>24.82014180349334</c:v>
                </c:pt>
                <c:pt idx="2">
                  <c:v>18.32594354315908</c:v>
                </c:pt>
                <c:pt idx="3">
                  <c:v>14.78816074696845</c:v>
                </c:pt>
                <c:pt idx="4">
                  <c:v>12.67159814371364</c:v>
                </c:pt>
                <c:pt idx="5">
                  <c:v>11.38832163830219</c:v>
                </c:pt>
                <c:pt idx="6">
                  <c:v>10.67171105580363</c:v>
                </c:pt>
                <c:pt idx="7">
                  <c:v>10.38892184224569</c:v>
                </c:pt>
                <c:pt idx="8">
                  <c:v>10.47096716160181</c:v>
                </c:pt>
                <c:pt idx="9">
                  <c:v>10.882501180468</c:v>
                </c:pt>
                <c:pt idx="10">
                  <c:v>11.60727679095379</c:v>
                </c:pt>
                <c:pt idx="11">
                  <c:v>12.64054662088297</c:v>
                </c:pt>
                <c:pt idx="12">
                  <c:v>13.98482478780573</c:v>
                </c:pt>
                <c:pt idx="13">
                  <c:v>15.64739438905271</c:v>
                </c:pt>
                <c:pt idx="14">
                  <c:v>17.63877570505661</c:v>
                </c:pt>
                <c:pt idx="15">
                  <c:v>19.97174917964769</c:v>
                </c:pt>
                <c:pt idx="16">
                  <c:v>22.66071210812984</c:v>
                </c:pt>
                <c:pt idx="17">
                  <c:v>25.72124321840662</c:v>
                </c:pt>
                <c:pt idx="18">
                  <c:v>29.16980077098088</c:v>
                </c:pt>
                <c:pt idx="19">
                  <c:v>33.02350873370271</c:v>
                </c:pt>
                <c:pt idx="20">
                  <c:v>37.30000244434774</c:v>
                </c:pt>
              </c:numCache>
            </c:numRef>
          </c:yVal>
          <c:smooth val="1"/>
        </c:ser>
        <c:ser>
          <c:idx val="7"/>
          <c:order val="7"/>
          <c:tx>
            <c:v>V_eco</c:v>
          </c:tx>
          <c:spPr>
            <a:ln w="19050" cap="rnd">
              <a:solidFill>
                <a:schemeClr val="accent2">
                  <a:lumMod val="75000"/>
                </a:schemeClr>
              </a:solidFill>
              <a:prstDash val="sysDot"/>
              <a:round/>
              <a:headEnd type="oval"/>
              <a:tailEnd type="oval"/>
            </a:ln>
            <a:effectLst/>
          </c:spPr>
          <c:marker>
            <c:symbol val="none"/>
          </c:marker>
          <c:xVal>
            <c:numRef>
              <c:f>('Optimisation de l''usinage'!$F$4,'Optimisation de l''usinage'!$F$4)</c:f>
              <c:numCache>
                <c:formatCode>0.0</c:formatCode>
                <c:ptCount val="2"/>
                <c:pt idx="0">
                  <c:v>56.33585026905799</c:v>
                </c:pt>
                <c:pt idx="1">
                  <c:v>56.33585026905799</c:v>
                </c:pt>
              </c:numCache>
            </c:numRef>
          </c:xVal>
          <c:yVal>
            <c:numRef>
              <c:f>('Optimisation de l''usinage'!$A$9,'Optimisation de l''usinage'!$F$11)</c:f>
              <c:numCache>
                <c:formatCode>0.00</c:formatCode>
                <c:ptCount val="2"/>
                <c:pt idx="0" formatCode="General">
                  <c:v>0.0</c:v>
                </c:pt>
                <c:pt idx="1">
                  <c:v>10.37702438134488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3398088"/>
        <c:axId val="-2141136232"/>
      </c:scatterChart>
      <c:scatterChart>
        <c:scatterStyle val="smoothMarker"/>
        <c:varyColors val="0"/>
        <c:ser>
          <c:idx val="4"/>
          <c:order val="5"/>
          <c:tx>
            <c:v>Production</c:v>
          </c:tx>
          <c:spPr>
            <a:ln w="3810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CalculPourGraphe!$E$2:$E$22</c:f>
              <c:numCache>
                <c:formatCode>0.0</c:formatCode>
                <c:ptCount val="21"/>
                <c:pt idx="0">
                  <c:v>10.0</c:v>
                </c:pt>
                <c:pt idx="1">
                  <c:v>16.38316329661831</c:v>
                </c:pt>
                <c:pt idx="2">
                  <c:v>22.76632659323661</c:v>
                </c:pt>
                <c:pt idx="3">
                  <c:v>29.14948988985492</c:v>
                </c:pt>
                <c:pt idx="4">
                  <c:v>35.53265318647322</c:v>
                </c:pt>
                <c:pt idx="5">
                  <c:v>41.91581648309153</c:v>
                </c:pt>
                <c:pt idx="6">
                  <c:v>48.29897977970983</c:v>
                </c:pt>
                <c:pt idx="7">
                  <c:v>54.68214307632814</c:v>
                </c:pt>
                <c:pt idx="8">
                  <c:v>61.06530637294645</c:v>
                </c:pt>
                <c:pt idx="9">
                  <c:v>67.44846966956475</c:v>
                </c:pt>
                <c:pt idx="10">
                  <c:v>73.83163296618306</c:v>
                </c:pt>
                <c:pt idx="11">
                  <c:v>80.21479626280137</c:v>
                </c:pt>
                <c:pt idx="12">
                  <c:v>86.59795955941967</c:v>
                </c:pt>
                <c:pt idx="13">
                  <c:v>92.98112285603798</c:v>
                </c:pt>
                <c:pt idx="14">
                  <c:v>99.36428615265629</c:v>
                </c:pt>
                <c:pt idx="15">
                  <c:v>105.7474494492746</c:v>
                </c:pt>
                <c:pt idx="16">
                  <c:v>112.130612745893</c:v>
                </c:pt>
                <c:pt idx="17">
                  <c:v>118.5137760425112</c:v>
                </c:pt>
                <c:pt idx="18">
                  <c:v>124.8969393391295</c:v>
                </c:pt>
                <c:pt idx="19">
                  <c:v>131.2801026357478</c:v>
                </c:pt>
                <c:pt idx="20">
                  <c:v>137.6632659323661</c:v>
                </c:pt>
              </c:numCache>
            </c:numRef>
          </c:xVal>
          <c:yVal>
            <c:numRef>
              <c:f>CalculPourGraphe!$M$2:$M$22</c:f>
              <c:numCache>
                <c:formatCode>0.00E+00</c:formatCode>
                <c:ptCount val="21"/>
                <c:pt idx="0">
                  <c:v>5.023956829088293</c:v>
                </c:pt>
                <c:pt idx="1">
                  <c:v>8.059942887773233</c:v>
                </c:pt>
                <c:pt idx="2">
                  <c:v>10.95210480082434</c:v>
                </c:pt>
                <c:pt idx="3">
                  <c:v>13.6716290369668</c:v>
                </c:pt>
                <c:pt idx="4">
                  <c:v>16.16960932074796</c:v>
                </c:pt>
                <c:pt idx="5">
                  <c:v>18.37900705664156</c:v>
                </c:pt>
                <c:pt idx="6">
                  <c:v>20.22189293989988</c:v>
                </c:pt>
                <c:pt idx="7">
                  <c:v>21.62207733813587</c:v>
                </c:pt>
                <c:pt idx="8">
                  <c:v>22.52111154346324</c:v>
                </c:pt>
                <c:pt idx="9">
                  <c:v>22.89331994673256</c:v>
                </c:pt>
                <c:pt idx="10">
                  <c:v>22.75462900303945</c:v>
                </c:pt>
                <c:pt idx="11">
                  <c:v>22.16170583644461</c:v>
                </c:pt>
                <c:pt idx="12">
                  <c:v>21.20174517274511</c:v>
                </c:pt>
                <c:pt idx="13">
                  <c:v>19.97688875808411</c:v>
                </c:pt>
                <c:pt idx="14">
                  <c:v>18.58859429603284</c:v>
                </c:pt>
                <c:pt idx="15">
                  <c:v>17.12598731226192</c:v>
                </c:pt>
                <c:pt idx="16">
                  <c:v>15.65970975302019</c:v>
                </c:pt>
                <c:pt idx="17">
                  <c:v>14.24063322311902</c:v>
                </c:pt>
                <c:pt idx="18">
                  <c:v>12.90178222435281</c:v>
                </c:pt>
                <c:pt idx="19">
                  <c:v>11.66177758145582</c:v>
                </c:pt>
                <c:pt idx="20">
                  <c:v>10.5285705849681</c:v>
                </c:pt>
              </c:numCache>
            </c:numRef>
          </c:yVal>
          <c:smooth val="1"/>
        </c:ser>
        <c:ser>
          <c:idx val="6"/>
          <c:order val="6"/>
          <c:tx>
            <c:v>V_Q</c:v>
          </c:tx>
          <c:spPr>
            <a:ln w="19050" cap="rnd">
              <a:solidFill>
                <a:schemeClr val="accent5">
                  <a:lumMod val="75000"/>
                </a:schemeClr>
              </a:solidFill>
              <a:prstDash val="sysDot"/>
              <a:round/>
              <a:headEnd type="oval"/>
              <a:tailEnd type="oval"/>
            </a:ln>
            <a:effectLst/>
          </c:spPr>
          <c:marker>
            <c:symbol val="none"/>
          </c:marker>
          <c:xVal>
            <c:numRef>
              <c:f>('Optimisation de l''usinage'!$G$4,'Optimisation de l''usinage'!$G$4)</c:f>
              <c:numCache>
                <c:formatCode>0.0</c:formatCode>
                <c:ptCount val="2"/>
                <c:pt idx="0">
                  <c:v>68.83163296618308</c:v>
                </c:pt>
                <c:pt idx="1">
                  <c:v>68.83163296618308</c:v>
                </c:pt>
              </c:numCache>
            </c:numRef>
          </c:xVal>
          <c:yVal>
            <c:numRef>
              <c:f>('Optimisation de l''usinage'!$A$9,'Optimisation de l''usinage'!$G$13)</c:f>
              <c:numCache>
                <c:formatCode>0.0</c:formatCode>
                <c:ptCount val="2"/>
                <c:pt idx="0" formatCode="General">
                  <c:v>0.0</c:v>
                </c:pt>
                <c:pt idx="1">
                  <c:v>22.90525683928121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3269288"/>
        <c:axId val="-2053376984"/>
      </c:scatterChart>
      <c:valAx>
        <c:axId val="-2053398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Vitesse de coupe (m/min)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1136232"/>
        <c:crosses val="autoZero"/>
        <c:crossBetween val="midCat"/>
      </c:valAx>
      <c:valAx>
        <c:axId val="-214113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Coûts par pièce (E)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398088"/>
        <c:crosses val="autoZero"/>
        <c:crossBetween val="midCat"/>
      </c:valAx>
      <c:valAx>
        <c:axId val="-20533769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productivité</a:t>
                </a:r>
                <a:r>
                  <a:rPr lang="fr-FR" baseline="0"/>
                  <a:t> (pièces/h)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269288"/>
        <c:crosses val="max"/>
        <c:crossBetween val="midCat"/>
      </c:valAx>
      <c:valAx>
        <c:axId val="-205326928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-2053376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28575</xdr:rowOff>
    </xdr:from>
    <xdr:to>
      <xdr:col>3</xdr:col>
      <xdr:colOff>742950</xdr:colOff>
      <xdr:row>52</xdr:row>
      <xdr:rowOff>161925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34</xdr:row>
      <xdr:rowOff>19049</xdr:rowOff>
    </xdr:from>
    <xdr:to>
      <xdr:col>7</xdr:col>
      <xdr:colOff>752475</xdr:colOff>
      <xdr:row>53</xdr:row>
      <xdr:rowOff>9524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34</xdr:row>
      <xdr:rowOff>19050</xdr:rowOff>
    </xdr:from>
    <xdr:to>
      <xdr:col>11</xdr:col>
      <xdr:colOff>742950</xdr:colOff>
      <xdr:row>53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15</xdr:row>
      <xdr:rowOff>9525</xdr:rowOff>
    </xdr:from>
    <xdr:to>
      <xdr:col>18</xdr:col>
      <xdr:colOff>371475</xdr:colOff>
      <xdr:row>43</xdr:row>
      <xdr:rowOff>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14</xdr:row>
      <xdr:rowOff>85724</xdr:rowOff>
    </xdr:from>
    <xdr:to>
      <xdr:col>15</xdr:col>
      <xdr:colOff>180975</xdr:colOff>
      <xdr:row>36</xdr:row>
      <xdr:rowOff>9524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timi_2014-2015%20-%20Copie.sxc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RESULTAT"/>
      <sheetName val="CALCUL"/>
    </sheetNames>
    <sheetDataSet>
      <sheetData sheetId="0" refreshError="1"/>
      <sheetData sheetId="1" refreshError="1"/>
      <sheetData sheetId="2">
        <row r="5">
          <cell r="C5">
            <v>1</v>
          </cell>
        </row>
        <row r="6">
          <cell r="C6">
            <v>0.25</v>
          </cell>
        </row>
        <row r="7">
          <cell r="C7">
            <v>10</v>
          </cell>
        </row>
        <row r="8">
          <cell r="C8">
            <v>10</v>
          </cell>
        </row>
        <row r="16">
          <cell r="C16">
            <v>0.4</v>
          </cell>
        </row>
        <row r="17">
          <cell r="C17">
            <v>4</v>
          </cell>
        </row>
        <row r="18">
          <cell r="C18">
            <v>305</v>
          </cell>
        </row>
        <row r="19">
          <cell r="C19">
            <v>15</v>
          </cell>
        </row>
        <row r="20">
          <cell r="C20">
            <v>-0.33333333333333331</v>
          </cell>
        </row>
        <row r="21">
          <cell r="C21">
            <v>-0.16666666666666666</v>
          </cell>
        </row>
        <row r="22">
          <cell r="C22">
            <v>-0.33333333333333331</v>
          </cell>
        </row>
        <row r="25">
          <cell r="I25">
            <v>2</v>
          </cell>
          <cell r="K25">
            <v>311.6325025067116</v>
          </cell>
        </row>
        <row r="26">
          <cell r="I26">
            <v>879.77223788751894</v>
          </cell>
        </row>
        <row r="27">
          <cell r="G27">
            <v>4</v>
          </cell>
        </row>
        <row r="28">
          <cell r="G28">
            <v>698.27568795753234</v>
          </cell>
          <cell r="K28">
            <v>6.7207209952308759E-4</v>
          </cell>
        </row>
        <row r="29">
          <cell r="I29">
            <v>2.3806105855558594E-4</v>
          </cell>
          <cell r="K29">
            <v>4.032432597138526E-3</v>
          </cell>
        </row>
        <row r="30">
          <cell r="I30">
            <v>1.4283663513335156E-3</v>
          </cell>
          <cell r="K30">
            <v>8.960961326974502E-5</v>
          </cell>
        </row>
        <row r="31">
          <cell r="B31">
            <v>1</v>
          </cell>
          <cell r="G31">
            <v>2.9993813883443871E-4</v>
          </cell>
          <cell r="I31">
            <v>7.1418317566675779E-4</v>
          </cell>
          <cell r="K31">
            <v>8.960961326974502E-5</v>
          </cell>
        </row>
        <row r="32">
          <cell r="B32">
            <v>10</v>
          </cell>
          <cell r="G32">
            <v>1.7996288330066324E-3</v>
          </cell>
          <cell r="I32">
            <v>7.1418317566675779E-4</v>
          </cell>
          <cell r="K32">
            <v>2.0042116518236779</v>
          </cell>
        </row>
        <row r="33">
          <cell r="B33">
            <v>1</v>
          </cell>
          <cell r="G33">
            <v>4.4990720825165809E-4</v>
          </cell>
          <cell r="I33">
            <v>2.002856732702667</v>
          </cell>
          <cell r="K33">
            <v>29.938296538979305</v>
          </cell>
        </row>
        <row r="34">
          <cell r="B34">
            <v>10</v>
          </cell>
          <cell r="G34">
            <v>4.4990720825165809E-4</v>
          </cell>
          <cell r="I34">
            <v>29.967896149140238</v>
          </cell>
          <cell r="K34">
            <v>2.6238839384661512</v>
          </cell>
        </row>
        <row r="35">
          <cell r="G35">
            <v>2</v>
          </cell>
          <cell r="I35">
            <v>7.4075079650966984</v>
          </cell>
          <cell r="K35">
            <v>11159.516970459139</v>
          </cell>
        </row>
        <row r="36">
          <cell r="B36">
            <v>45</v>
          </cell>
          <cell r="G36">
            <v>2.0026994432495098</v>
          </cell>
          <cell r="I36">
            <v>1400.201004548175</v>
          </cell>
          <cell r="K36">
            <v>0.33402034036840139</v>
          </cell>
        </row>
        <row r="37">
          <cell r="G37">
            <v>29.966294869833664</v>
          </cell>
          <cell r="I37">
            <v>0.33369042492116668</v>
          </cell>
        </row>
        <row r="38">
          <cell r="G38">
            <v>505.18811433854995</v>
          </cell>
        </row>
        <row r="39">
          <cell r="G39">
            <v>5.8793429681286566</v>
          </cell>
        </row>
        <row r="40">
          <cell r="G40">
            <v>2.5259405716927499</v>
          </cell>
        </row>
        <row r="41">
          <cell r="G41">
            <v>2222.6805475867027</v>
          </cell>
        </row>
        <row r="42">
          <cell r="G42">
            <v>0.33370825600687642</v>
          </cell>
        </row>
        <row r="48">
          <cell r="C48">
            <v>1</v>
          </cell>
        </row>
        <row r="53">
          <cell r="C5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tabSelected="1" topLeftCell="A2" workbookViewId="0">
      <selection activeCell="D3" sqref="D3"/>
    </sheetView>
  </sheetViews>
  <sheetFormatPr baseColWidth="10" defaultRowHeight="14" x14ac:dyDescent="0"/>
  <cols>
    <col min="12" max="12" width="11.5" customWidth="1"/>
    <col min="13" max="13" width="12.33203125" bestFit="1" customWidth="1"/>
  </cols>
  <sheetData>
    <row r="1" spans="1:14">
      <c r="A1" t="s">
        <v>0</v>
      </c>
    </row>
    <row r="2" spans="1:14">
      <c r="A2" t="s">
        <v>1</v>
      </c>
    </row>
    <row r="3" spans="1:14">
      <c r="A3" t="s">
        <v>2</v>
      </c>
    </row>
    <row r="5" spans="1:14">
      <c r="A5" s="148" t="s">
        <v>3</v>
      </c>
      <c r="B5" s="149"/>
      <c r="C5" s="149"/>
      <c r="D5" s="149"/>
      <c r="E5" s="149"/>
      <c r="F5" s="150"/>
    </row>
    <row r="6" spans="1:14">
      <c r="A6" s="151" t="s">
        <v>55</v>
      </c>
      <c r="B6" s="152"/>
      <c r="C6" s="152"/>
      <c r="D6" s="152"/>
      <c r="E6" s="152"/>
      <c r="F6" s="153"/>
    </row>
    <row r="8" spans="1:14" ht="15" thickBot="1">
      <c r="A8" s="155" t="s">
        <v>28</v>
      </c>
      <c r="B8" s="155"/>
      <c r="C8" s="155"/>
      <c r="D8" s="155"/>
      <c r="E8" s="155"/>
    </row>
    <row r="9" spans="1:14" ht="15" thickBot="1">
      <c r="H9" s="172" t="s">
        <v>57</v>
      </c>
      <c r="I9" s="173"/>
      <c r="J9" s="169" t="s">
        <v>60</v>
      </c>
      <c r="K9" s="170"/>
      <c r="L9" s="171"/>
      <c r="M9" s="106" t="s">
        <v>58</v>
      </c>
      <c r="N9" s="107"/>
    </row>
    <row r="10" spans="1:14" s="8" customFormat="1" ht="15" customHeight="1">
      <c r="A10" s="156" t="s">
        <v>5</v>
      </c>
      <c r="B10" s="158" t="s">
        <v>30</v>
      </c>
      <c r="C10" s="159"/>
      <c r="D10" s="160"/>
      <c r="E10" s="28" t="s">
        <v>6</v>
      </c>
      <c r="F10" s="29" t="s">
        <v>7</v>
      </c>
      <c r="G10" s="30" t="s">
        <v>50</v>
      </c>
      <c r="H10" s="35" t="s">
        <v>56</v>
      </c>
      <c r="I10" s="176" t="s">
        <v>31</v>
      </c>
      <c r="J10" s="174" t="s">
        <v>59</v>
      </c>
      <c r="K10" s="111" t="s">
        <v>52</v>
      </c>
      <c r="L10" s="115" t="s">
        <v>52</v>
      </c>
      <c r="M10" s="97" t="s">
        <v>121</v>
      </c>
      <c r="N10" s="39" t="s">
        <v>121</v>
      </c>
    </row>
    <row r="11" spans="1:14" s="8" customFormat="1" ht="15" thickBot="1">
      <c r="A11" s="157"/>
      <c r="B11" s="48" t="s">
        <v>6</v>
      </c>
      <c r="C11" s="49" t="s">
        <v>7</v>
      </c>
      <c r="D11" s="50" t="s">
        <v>51</v>
      </c>
      <c r="E11" s="51" t="s">
        <v>9</v>
      </c>
      <c r="F11" s="52" t="s">
        <v>10</v>
      </c>
      <c r="G11" s="53" t="s">
        <v>11</v>
      </c>
      <c r="H11" s="54" t="s">
        <v>15</v>
      </c>
      <c r="I11" s="177"/>
      <c r="J11" s="175"/>
      <c r="K11" s="109" t="s">
        <v>32</v>
      </c>
      <c r="L11" s="116" t="s">
        <v>120</v>
      </c>
      <c r="M11" s="119" t="s">
        <v>33</v>
      </c>
      <c r="N11" s="120" t="s">
        <v>122</v>
      </c>
    </row>
    <row r="12" spans="1:14" s="8" customFormat="1">
      <c r="A12" s="19">
        <v>1</v>
      </c>
      <c r="B12" s="45">
        <v>1</v>
      </c>
      <c r="C12" s="15">
        <v>1</v>
      </c>
      <c r="D12" s="46">
        <v>1</v>
      </c>
      <c r="E12" s="45">
        <v>125</v>
      </c>
      <c r="F12" s="15">
        <v>0.15</v>
      </c>
      <c r="G12" s="46">
        <v>0.5</v>
      </c>
      <c r="H12" s="47">
        <v>16.666666666666668</v>
      </c>
      <c r="I12" s="98"/>
      <c r="J12" s="147" t="e">
        <f>SUMIF($A$26:$A$28,B12,$F$26:$F$28)+SUMIF($A$26:$A$28,C12,$G$26:$G$28)+SUMIF($A$26:$A$28,D12,$H$26:$H$28)+$I$21</f>
        <v>#DIV/0!</v>
      </c>
      <c r="K12" s="110"/>
      <c r="L12" s="117"/>
      <c r="M12" s="121"/>
      <c r="N12" s="122"/>
    </row>
    <row r="13" spans="1:14" s="8" customFormat="1">
      <c r="A13" s="17">
        <v>2</v>
      </c>
      <c r="B13" s="20">
        <v>1</v>
      </c>
      <c r="C13" s="13">
        <v>2</v>
      </c>
      <c r="D13" s="21">
        <v>2</v>
      </c>
      <c r="E13" s="20">
        <v>125</v>
      </c>
      <c r="F13" s="13">
        <v>0.25</v>
      </c>
      <c r="G13" s="21">
        <v>1</v>
      </c>
      <c r="H13" s="36">
        <v>3.9166666666666665</v>
      </c>
      <c r="I13" s="98"/>
      <c r="J13" s="112"/>
      <c r="K13" s="110"/>
      <c r="L13" s="117"/>
      <c r="M13" s="121"/>
      <c r="N13" s="122"/>
    </row>
    <row r="14" spans="1:14" s="8" customFormat="1" ht="15" thickBot="1">
      <c r="A14" s="17">
        <v>3</v>
      </c>
      <c r="B14" s="20">
        <v>1</v>
      </c>
      <c r="C14" s="13">
        <v>3</v>
      </c>
      <c r="D14" s="21">
        <v>3</v>
      </c>
      <c r="E14" s="20">
        <v>125</v>
      </c>
      <c r="F14" s="13">
        <v>0.4</v>
      </c>
      <c r="G14" s="21">
        <v>2</v>
      </c>
      <c r="H14" s="36">
        <v>1.9833333333333334</v>
      </c>
      <c r="I14" s="98"/>
      <c r="J14" s="112"/>
      <c r="K14" s="110"/>
      <c r="L14" s="117"/>
      <c r="M14" s="121"/>
      <c r="N14" s="122"/>
    </row>
    <row r="15" spans="1:14" s="8" customFormat="1" ht="16" thickTop="1" thickBot="1">
      <c r="A15" s="31">
        <v>4</v>
      </c>
      <c r="B15" s="32">
        <v>2</v>
      </c>
      <c r="C15" s="33">
        <v>1</v>
      </c>
      <c r="D15" s="34">
        <v>2</v>
      </c>
      <c r="E15" s="32">
        <v>160</v>
      </c>
      <c r="F15" s="33">
        <v>0.15</v>
      </c>
      <c r="G15" s="34">
        <v>1</v>
      </c>
      <c r="H15" s="22"/>
      <c r="I15" s="98"/>
      <c r="J15" s="112"/>
      <c r="K15" s="110"/>
      <c r="L15" s="117"/>
      <c r="M15" s="121"/>
      <c r="N15" s="122"/>
    </row>
    <row r="16" spans="1:14" s="8" customFormat="1" ht="15" thickTop="1">
      <c r="A16" s="17">
        <v>5</v>
      </c>
      <c r="B16" s="20">
        <v>2</v>
      </c>
      <c r="C16" s="13">
        <v>2</v>
      </c>
      <c r="D16" s="21">
        <v>3</v>
      </c>
      <c r="E16" s="20">
        <v>160</v>
      </c>
      <c r="F16" s="13">
        <v>0.25</v>
      </c>
      <c r="G16" s="21">
        <v>2</v>
      </c>
      <c r="H16" s="36">
        <v>1.0333333333333334</v>
      </c>
      <c r="I16" s="98"/>
      <c r="J16" s="112"/>
      <c r="K16" s="110"/>
      <c r="L16" s="117"/>
      <c r="M16" s="121"/>
      <c r="N16" s="122"/>
    </row>
    <row r="17" spans="1:14" s="8" customFormat="1">
      <c r="A17" s="17">
        <v>6</v>
      </c>
      <c r="B17" s="20">
        <v>2</v>
      </c>
      <c r="C17" s="13">
        <v>3</v>
      </c>
      <c r="D17" s="21">
        <v>1</v>
      </c>
      <c r="E17" s="20">
        <v>160</v>
      </c>
      <c r="F17" s="13">
        <v>0.4</v>
      </c>
      <c r="G17" s="21">
        <v>0.5</v>
      </c>
      <c r="H17" s="36">
        <v>1.7333333333333334</v>
      </c>
      <c r="I17" s="98"/>
      <c r="J17" s="112"/>
      <c r="K17" s="110"/>
      <c r="L17" s="117"/>
      <c r="M17" s="121"/>
      <c r="N17" s="122"/>
    </row>
    <row r="18" spans="1:14" s="8" customFormat="1">
      <c r="A18" s="18">
        <v>7</v>
      </c>
      <c r="B18" s="23">
        <v>3</v>
      </c>
      <c r="C18" s="14">
        <v>1</v>
      </c>
      <c r="D18" s="24">
        <v>3</v>
      </c>
      <c r="E18" s="23">
        <v>200</v>
      </c>
      <c r="F18" s="14">
        <v>0.15</v>
      </c>
      <c r="G18" s="24">
        <v>2</v>
      </c>
      <c r="H18" s="37">
        <v>0.54</v>
      </c>
      <c r="I18" s="98"/>
      <c r="J18" s="112"/>
      <c r="K18" s="110"/>
      <c r="L18" s="117"/>
      <c r="M18" s="121"/>
      <c r="N18" s="122"/>
    </row>
    <row r="19" spans="1:14" s="8" customFormat="1">
      <c r="A19" s="17">
        <v>8</v>
      </c>
      <c r="B19" s="20">
        <v>3</v>
      </c>
      <c r="C19" s="13">
        <v>2</v>
      </c>
      <c r="D19" s="21">
        <v>1</v>
      </c>
      <c r="E19" s="20">
        <v>200</v>
      </c>
      <c r="F19" s="13">
        <v>0.25</v>
      </c>
      <c r="G19" s="21">
        <v>0.5</v>
      </c>
      <c r="H19" s="36">
        <v>1</v>
      </c>
      <c r="I19" s="98"/>
      <c r="J19" s="112"/>
      <c r="K19" s="110"/>
      <c r="L19" s="117"/>
      <c r="M19" s="121"/>
      <c r="N19" s="122"/>
    </row>
    <row r="20" spans="1:14" s="8" customFormat="1" ht="15" thickBot="1">
      <c r="A20" s="19">
        <v>9</v>
      </c>
      <c r="B20" s="25">
        <v>3</v>
      </c>
      <c r="C20" s="26">
        <v>3</v>
      </c>
      <c r="D20" s="27">
        <v>2</v>
      </c>
      <c r="E20" s="25">
        <v>200</v>
      </c>
      <c r="F20" s="26">
        <v>0.4</v>
      </c>
      <c r="G20" s="27">
        <v>1</v>
      </c>
      <c r="H20" s="38">
        <v>0.55000000000000004</v>
      </c>
      <c r="I20" s="98"/>
      <c r="J20" s="113"/>
      <c r="K20" s="114"/>
      <c r="L20" s="118"/>
      <c r="M20" s="123"/>
      <c r="N20" s="124"/>
    </row>
    <row r="21" spans="1:14" s="8" customFormat="1" ht="15" thickBot="1">
      <c r="A21" s="12"/>
      <c r="B21" s="12"/>
      <c r="C21" s="12"/>
      <c r="D21" s="12"/>
      <c r="E21" s="12"/>
      <c r="F21" s="12"/>
      <c r="G21" s="12"/>
      <c r="H21" s="12" t="s">
        <v>34</v>
      </c>
      <c r="I21" s="41"/>
      <c r="J21" s="12"/>
      <c r="K21" s="12"/>
      <c r="L21" s="42"/>
      <c r="M21" s="42"/>
    </row>
    <row r="22" spans="1:14">
      <c r="K22" s="43"/>
      <c r="L22" s="43"/>
      <c r="M22" s="43"/>
    </row>
    <row r="23" spans="1:14">
      <c r="A23" s="154" t="s">
        <v>29</v>
      </c>
      <c r="B23" s="154"/>
      <c r="C23" s="154"/>
      <c r="D23" s="154"/>
      <c r="E23" s="154"/>
      <c r="K23" s="44"/>
      <c r="L23" s="44"/>
      <c r="M23" s="44"/>
    </row>
    <row r="25" spans="1:14">
      <c r="A25" s="16" t="s">
        <v>35</v>
      </c>
      <c r="B25" s="16" t="s">
        <v>36</v>
      </c>
      <c r="C25" s="16" t="s">
        <v>37</v>
      </c>
      <c r="D25" s="16" t="s">
        <v>61</v>
      </c>
      <c r="E25" s="55"/>
      <c r="F25" s="16" t="s">
        <v>38</v>
      </c>
      <c r="G25" s="16" t="s">
        <v>39</v>
      </c>
      <c r="H25" s="16" t="s">
        <v>62</v>
      </c>
    </row>
    <row r="26" spans="1:14">
      <c r="A26" s="104">
        <v>1</v>
      </c>
      <c r="B26" s="101"/>
      <c r="C26" s="101"/>
      <c r="D26" s="101"/>
      <c r="E26" s="100"/>
      <c r="F26" s="101" t="e">
        <f>AVERAGEIF(B$12:B$20,$A26,$I$12:$I$20)-$I$21</f>
        <v>#DIV/0!</v>
      </c>
      <c r="G26" s="101"/>
      <c r="H26" s="101"/>
    </row>
    <row r="27" spans="1:14">
      <c r="A27" s="104">
        <v>2</v>
      </c>
      <c r="B27" s="101"/>
      <c r="C27" s="101"/>
      <c r="D27" s="101"/>
      <c r="E27" s="100"/>
      <c r="F27" s="101"/>
      <c r="G27" s="101"/>
      <c r="H27" s="101"/>
    </row>
    <row r="28" spans="1:14" ht="15" thickBot="1">
      <c r="A28" s="105">
        <v>3</v>
      </c>
      <c r="B28" s="142"/>
      <c r="C28" s="101"/>
      <c r="D28" s="101"/>
      <c r="E28" s="102"/>
      <c r="F28" s="101"/>
      <c r="G28" s="101"/>
      <c r="H28" s="101"/>
    </row>
    <row r="29" spans="1:14" ht="15" thickTop="1">
      <c r="A29" s="163" t="s">
        <v>40</v>
      </c>
      <c r="B29" s="164"/>
      <c r="C29" s="164"/>
      <c r="D29" s="165"/>
      <c r="E29" s="103" t="s">
        <v>41</v>
      </c>
      <c r="F29" s="143"/>
      <c r="G29" s="143"/>
      <c r="H29" s="143"/>
    </row>
    <row r="30" spans="1:14">
      <c r="A30" s="166" t="s">
        <v>42</v>
      </c>
      <c r="B30" s="167"/>
      <c r="C30" s="167"/>
      <c r="D30" s="168"/>
      <c r="E30" s="99" t="s">
        <v>43</v>
      </c>
      <c r="F30" s="101"/>
      <c r="G30" s="101"/>
      <c r="H30" s="101"/>
    </row>
    <row r="33" spans="1:12">
      <c r="A33" s="154" t="s">
        <v>48</v>
      </c>
      <c r="B33" s="154"/>
      <c r="C33" s="154"/>
      <c r="D33" s="154"/>
      <c r="E33" s="154"/>
    </row>
    <row r="35" spans="1:12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</row>
    <row r="36" spans="1:1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  <row r="37" spans="1:12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</row>
    <row r="38" spans="1:12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</row>
    <row r="39" spans="1:12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</row>
    <row r="40" spans="1:12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</row>
    <row r="41" spans="1:12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</row>
    <row r="42" spans="1:12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</row>
    <row r="43" spans="1:12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</row>
    <row r="44" spans="1:12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</row>
    <row r="45" spans="1:1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</row>
    <row r="46" spans="1:12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</row>
    <row r="47" spans="1:12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</row>
    <row r="49" spans="1:12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</row>
    <row r="50" spans="1:12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</row>
    <row r="51" spans="1:12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</row>
    <row r="52" spans="1:12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</row>
    <row r="53" spans="1:12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</row>
    <row r="56" spans="1:12">
      <c r="A56" s="162" t="s">
        <v>49</v>
      </c>
      <c r="B56" s="162"/>
      <c r="C56" s="162"/>
      <c r="D56" s="162"/>
      <c r="E56" s="162"/>
    </row>
    <row r="58" spans="1:12">
      <c r="A58" s="40" t="s">
        <v>44</v>
      </c>
      <c r="B58" s="144">
        <v>1000000</v>
      </c>
      <c r="C58" s="40" t="s">
        <v>45</v>
      </c>
      <c r="D58" s="145">
        <v>-4</v>
      </c>
      <c r="E58" s="40" t="s">
        <v>46</v>
      </c>
      <c r="F58" s="145">
        <v>-2</v>
      </c>
      <c r="G58" s="40" t="s">
        <v>47</v>
      </c>
      <c r="H58" s="146">
        <v>-1</v>
      </c>
    </row>
  </sheetData>
  <mergeCells count="17">
    <mergeCell ref="J9:L9"/>
    <mergeCell ref="H9:I9"/>
    <mergeCell ref="J10:J11"/>
    <mergeCell ref="I10:I11"/>
    <mergeCell ref="A33:E33"/>
    <mergeCell ref="I35:L53"/>
    <mergeCell ref="E35:H53"/>
    <mergeCell ref="A35:D53"/>
    <mergeCell ref="A56:E56"/>
    <mergeCell ref="A29:D29"/>
    <mergeCell ref="A30:D30"/>
    <mergeCell ref="A5:F5"/>
    <mergeCell ref="A6:F6"/>
    <mergeCell ref="A23:E23"/>
    <mergeCell ref="A8:E8"/>
    <mergeCell ref="A10:A11"/>
    <mergeCell ref="B10:D10"/>
  </mergeCells>
  <pageMargins left="0.7" right="0.7" top="0.75" bottom="0.75" header="0.3" footer="0.3"/>
  <pageSetup paperSize="9" orientation="portrait" verticalDpi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C34" sqref="C34"/>
    </sheetView>
  </sheetViews>
  <sheetFormatPr baseColWidth="10" defaultColWidth="9.1640625" defaultRowHeight="14" x14ac:dyDescent="0"/>
  <cols>
    <col min="4" max="4" width="11.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5" spans="1:6">
      <c r="A5" s="148" t="s">
        <v>3</v>
      </c>
      <c r="B5" s="149"/>
      <c r="C5" s="149"/>
      <c r="D5" s="149"/>
      <c r="E5" s="149"/>
      <c r="F5" s="150"/>
    </row>
    <row r="6" spans="1:6">
      <c r="A6" s="178" t="s">
        <v>54</v>
      </c>
      <c r="B6" s="179"/>
      <c r="C6" s="179"/>
      <c r="D6" s="179"/>
      <c r="E6" s="179"/>
      <c r="F6" s="180"/>
    </row>
    <row r="8" spans="1:6">
      <c r="A8" s="155" t="s">
        <v>4</v>
      </c>
      <c r="B8" s="155"/>
      <c r="C8" s="155"/>
      <c r="D8" s="155"/>
    </row>
    <row r="10" spans="1:6">
      <c r="A10" s="181" t="s">
        <v>5</v>
      </c>
      <c r="B10" s="7" t="s">
        <v>6</v>
      </c>
      <c r="C10" s="7" t="s">
        <v>7</v>
      </c>
      <c r="D10" s="7" t="s">
        <v>8</v>
      </c>
    </row>
    <row r="11" spans="1:6">
      <c r="A11" s="181"/>
      <c r="B11" s="5" t="s">
        <v>9</v>
      </c>
      <c r="C11" s="5" t="s">
        <v>10</v>
      </c>
      <c r="D11" s="5" t="s">
        <v>11</v>
      </c>
    </row>
    <row r="12" spans="1:6">
      <c r="A12" s="1">
        <v>4</v>
      </c>
      <c r="B12" s="1">
        <v>160</v>
      </c>
      <c r="C12" s="1">
        <v>0.15</v>
      </c>
      <c r="D12" s="1">
        <v>1</v>
      </c>
    </row>
    <row r="14" spans="1:6">
      <c r="A14" s="155" t="s">
        <v>12</v>
      </c>
      <c r="B14" s="155"/>
      <c r="C14" s="155"/>
      <c r="D14" s="155"/>
    </row>
    <row r="16" spans="1:6" ht="42">
      <c r="A16" s="181" t="s">
        <v>16</v>
      </c>
      <c r="B16" s="181"/>
      <c r="C16" s="3" t="s">
        <v>13</v>
      </c>
      <c r="D16" s="4" t="s">
        <v>17</v>
      </c>
    </row>
    <row r="17" spans="1:4">
      <c r="A17" s="5" t="s">
        <v>14</v>
      </c>
      <c r="B17" s="5" t="s">
        <v>15</v>
      </c>
      <c r="C17" s="5" t="s">
        <v>11</v>
      </c>
      <c r="D17" s="6" t="s">
        <v>11</v>
      </c>
    </row>
    <row r="18" spans="1:4">
      <c r="A18" s="1">
        <v>0</v>
      </c>
      <c r="B18" s="2">
        <f>A18/60</f>
        <v>0</v>
      </c>
      <c r="C18" s="1">
        <v>0</v>
      </c>
      <c r="D18" s="1"/>
    </row>
    <row r="19" spans="1:4">
      <c r="A19" s="1">
        <v>10</v>
      </c>
      <c r="B19" s="2">
        <f t="shared" ref="B19:B50" si="0">A19/60</f>
        <v>0.16666666666666666</v>
      </c>
      <c r="C19" s="1">
        <v>0.1</v>
      </c>
    </row>
    <row r="20" spans="1:4">
      <c r="A20" s="1">
        <v>20</v>
      </c>
      <c r="B20" s="2">
        <f t="shared" si="0"/>
        <v>0.33333333333333331</v>
      </c>
      <c r="C20" s="1">
        <v>0.13</v>
      </c>
    </row>
    <row r="21" spans="1:4">
      <c r="A21" s="1">
        <v>30</v>
      </c>
      <c r="B21" s="2">
        <f t="shared" si="0"/>
        <v>0.5</v>
      </c>
      <c r="C21" s="1">
        <v>0.17</v>
      </c>
    </row>
    <row r="22" spans="1:4">
      <c r="A22" s="1">
        <v>40</v>
      </c>
      <c r="B22" s="2">
        <f t="shared" si="0"/>
        <v>0.66666666666666663</v>
      </c>
      <c r="C22" s="1">
        <v>0.19</v>
      </c>
    </row>
    <row r="23" spans="1:4">
      <c r="A23" s="1">
        <v>50</v>
      </c>
      <c r="B23" s="2">
        <f t="shared" si="0"/>
        <v>0.83333333333333337</v>
      </c>
      <c r="C23" s="1">
        <v>0.21</v>
      </c>
    </row>
    <row r="24" spans="1:4">
      <c r="A24" s="1">
        <v>60</v>
      </c>
      <c r="B24" s="2">
        <f t="shared" si="0"/>
        <v>1</v>
      </c>
      <c r="C24" s="1">
        <v>0.24</v>
      </c>
    </row>
    <row r="25" spans="1:4">
      <c r="A25" s="1">
        <v>70</v>
      </c>
      <c r="B25" s="2">
        <f t="shared" si="0"/>
        <v>1.1666666666666667</v>
      </c>
      <c r="C25" s="1">
        <v>0.27</v>
      </c>
    </row>
    <row r="26" spans="1:4">
      <c r="A26" s="1">
        <v>80</v>
      </c>
      <c r="B26" s="2">
        <f t="shared" si="0"/>
        <v>1.3333333333333333</v>
      </c>
      <c r="C26" s="1">
        <v>0.28000000000000003</v>
      </c>
    </row>
    <row r="27" spans="1:4">
      <c r="A27" s="1">
        <v>90</v>
      </c>
      <c r="B27" s="2">
        <f t="shared" si="0"/>
        <v>1.5</v>
      </c>
      <c r="C27" s="1">
        <v>0.31</v>
      </c>
    </row>
    <row r="28" spans="1:4">
      <c r="A28" s="1"/>
      <c r="B28" s="2">
        <f t="shared" si="0"/>
        <v>0</v>
      </c>
      <c r="C28" s="1"/>
    </row>
    <row r="29" spans="1:4">
      <c r="A29" s="1"/>
      <c r="B29" s="2">
        <f t="shared" si="0"/>
        <v>0</v>
      </c>
      <c r="C29" s="1"/>
    </row>
    <row r="30" spans="1:4">
      <c r="A30" s="1"/>
      <c r="B30" s="2">
        <f t="shared" si="0"/>
        <v>0</v>
      </c>
      <c r="C30" s="1"/>
    </row>
    <row r="31" spans="1:4">
      <c r="A31" s="1"/>
      <c r="B31" s="2">
        <f t="shared" si="0"/>
        <v>0</v>
      </c>
      <c r="C31" s="1"/>
    </row>
    <row r="32" spans="1:4">
      <c r="A32" s="1"/>
      <c r="B32" s="2">
        <f t="shared" si="0"/>
        <v>0</v>
      </c>
      <c r="C32" s="1"/>
    </row>
    <row r="33" spans="1:3">
      <c r="A33" s="1"/>
      <c r="B33" s="2">
        <f t="shared" si="0"/>
        <v>0</v>
      </c>
      <c r="C33" s="1"/>
    </row>
    <row r="34" spans="1:3">
      <c r="A34" s="1"/>
      <c r="B34" s="2">
        <f t="shared" si="0"/>
        <v>0</v>
      </c>
      <c r="C34" s="1"/>
    </row>
    <row r="35" spans="1:3">
      <c r="A35" s="1"/>
      <c r="B35" s="2">
        <f t="shared" si="0"/>
        <v>0</v>
      </c>
      <c r="C35" s="1"/>
    </row>
    <row r="36" spans="1:3">
      <c r="A36" s="1"/>
      <c r="B36" s="2">
        <f t="shared" si="0"/>
        <v>0</v>
      </c>
      <c r="C36" s="1"/>
    </row>
    <row r="37" spans="1:3">
      <c r="A37" s="1"/>
      <c r="B37" s="2">
        <f t="shared" si="0"/>
        <v>0</v>
      </c>
      <c r="C37" s="1"/>
    </row>
    <row r="38" spans="1:3">
      <c r="A38" s="1"/>
      <c r="B38" s="2">
        <f t="shared" si="0"/>
        <v>0</v>
      </c>
      <c r="C38" s="1"/>
    </row>
    <row r="39" spans="1:3">
      <c r="A39" s="1"/>
      <c r="B39" s="2">
        <f t="shared" si="0"/>
        <v>0</v>
      </c>
      <c r="C39" s="1"/>
    </row>
    <row r="40" spans="1:3">
      <c r="A40" s="1"/>
      <c r="B40" s="2">
        <f t="shared" si="0"/>
        <v>0</v>
      </c>
      <c r="C40" s="1"/>
    </row>
    <row r="41" spans="1:3">
      <c r="A41" s="1"/>
      <c r="B41" s="2">
        <f t="shared" si="0"/>
        <v>0</v>
      </c>
      <c r="C41" s="1"/>
    </row>
    <row r="42" spans="1:3">
      <c r="A42" s="1"/>
      <c r="B42" s="2">
        <f t="shared" si="0"/>
        <v>0</v>
      </c>
      <c r="C42" s="1"/>
    </row>
    <row r="43" spans="1:3">
      <c r="A43" s="1"/>
      <c r="B43" s="2">
        <f t="shared" si="0"/>
        <v>0</v>
      </c>
      <c r="C43" s="1"/>
    </row>
    <row r="44" spans="1:3">
      <c r="A44" s="1"/>
      <c r="B44" s="2">
        <f t="shared" si="0"/>
        <v>0</v>
      </c>
      <c r="C44" s="1"/>
    </row>
    <row r="45" spans="1:3">
      <c r="A45" s="1"/>
      <c r="B45" s="2">
        <f t="shared" si="0"/>
        <v>0</v>
      </c>
      <c r="C45" s="1"/>
    </row>
    <row r="46" spans="1:3">
      <c r="A46" s="1"/>
      <c r="B46" s="2">
        <f t="shared" si="0"/>
        <v>0</v>
      </c>
      <c r="C46" s="1"/>
    </row>
    <row r="47" spans="1:3">
      <c r="A47" s="1"/>
      <c r="B47" s="2">
        <f t="shared" si="0"/>
        <v>0</v>
      </c>
      <c r="C47" s="1"/>
    </row>
    <row r="48" spans="1:3">
      <c r="A48" s="1"/>
      <c r="B48" s="2">
        <f t="shared" si="0"/>
        <v>0</v>
      </c>
      <c r="C48" s="1"/>
    </row>
    <row r="49" spans="1:3">
      <c r="A49" s="1"/>
      <c r="B49" s="2">
        <f t="shared" si="0"/>
        <v>0</v>
      </c>
      <c r="C49" s="1"/>
    </row>
    <row r="50" spans="1:3">
      <c r="A50" s="1"/>
      <c r="B50" s="2">
        <f t="shared" si="0"/>
        <v>0</v>
      </c>
      <c r="C50" s="1"/>
    </row>
  </sheetData>
  <mergeCells count="6">
    <mergeCell ref="A5:F5"/>
    <mergeCell ref="A6:F6"/>
    <mergeCell ref="A14:D14"/>
    <mergeCell ref="A8:D8"/>
    <mergeCell ref="A16:B16"/>
    <mergeCell ref="A10:A11"/>
  </mergeCells>
  <conditionalFormatting sqref="C18:C50">
    <cfRule type="cellIs" dxfId="0" priority="1" operator="greaterThan">
      <formula>0.3</formula>
    </cfRule>
    <cfRule type="dataBar" priority="2">
      <dataBar>
        <cfvo type="num" val="0"/>
        <cfvo type="num" val="0.3"/>
        <color theme="4" tint="0.39997558519241921"/>
      </dataBar>
      <extLst>
        <ext xmlns:x14="http://schemas.microsoft.com/office/spreadsheetml/2009/9/main" uri="{B025F937-C7B1-47D3-B67F-A62EFF666E3E}">
          <x14:id>{1705ABCD-F576-42FA-8160-B5110E5856B0}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05ABCD-F576-42FA-8160-B5110E5856B0}">
            <x14:dataBar minLength="0" maxLength="100" gradient="0">
              <x14:cfvo type="num">
                <xm:f>0</xm:f>
              </x14:cfvo>
              <x14:cfvo type="num">
                <xm:f>0.3</xm:f>
              </x14:cfvo>
              <x14:negativeFillColor rgb="FFFF0000"/>
              <x14:axisColor rgb="FF000000"/>
            </x14:dataBar>
          </x14:cfRule>
          <xm:sqref>C18:C50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29" sqref="F29"/>
    </sheetView>
  </sheetViews>
  <sheetFormatPr baseColWidth="10" defaultRowHeight="14" x14ac:dyDescent="0"/>
  <cols>
    <col min="1" max="1" width="21.5" style="8" customWidth="1"/>
    <col min="2" max="16384" width="10.83203125" style="8"/>
  </cols>
  <sheetData>
    <row r="1" spans="1:7">
      <c r="A1" s="148" t="s">
        <v>53</v>
      </c>
      <c r="B1" s="149"/>
      <c r="C1" s="149"/>
      <c r="D1" s="149"/>
      <c r="E1" s="149"/>
      <c r="F1" s="149"/>
      <c r="G1" s="150"/>
    </row>
    <row r="2" spans="1:7">
      <c r="A2" s="9" t="s">
        <v>18</v>
      </c>
    </row>
    <row r="3" spans="1:7">
      <c r="A3" s="10" t="s">
        <v>19</v>
      </c>
    </row>
    <row r="4" spans="1:7">
      <c r="A4" s="8" t="s">
        <v>20</v>
      </c>
      <c r="B4" s="11" t="s">
        <v>21</v>
      </c>
      <c r="C4" s="8" t="s">
        <v>22</v>
      </c>
    </row>
    <row r="5" spans="1:7">
      <c r="A5" s="8" t="s">
        <v>23</v>
      </c>
      <c r="B5" s="11" t="s">
        <v>24</v>
      </c>
      <c r="C5" s="8" t="s">
        <v>25</v>
      </c>
    </row>
    <row r="6" spans="1:7">
      <c r="A6" s="8" t="s">
        <v>26</v>
      </c>
      <c r="B6" s="11" t="s">
        <v>27</v>
      </c>
      <c r="C6" s="8" t="s">
        <v>25</v>
      </c>
    </row>
    <row r="7" spans="1:7">
      <c r="B7" s="11"/>
    </row>
  </sheetData>
  <mergeCells count="1">
    <mergeCell ref="A1:G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9" sqref="B29"/>
    </sheetView>
  </sheetViews>
  <sheetFormatPr baseColWidth="10" defaultRowHeight="14" x14ac:dyDescent="0"/>
  <cols>
    <col min="1" max="1" width="29" bestFit="1" customWidth="1"/>
    <col min="5" max="5" width="23.5" bestFit="1" customWidth="1"/>
  </cols>
  <sheetData>
    <row r="1" spans="1:9" ht="15" thickBot="1">
      <c r="A1" s="191" t="s">
        <v>83</v>
      </c>
      <c r="B1" s="192"/>
      <c r="C1" s="193"/>
      <c r="E1" s="188" t="s">
        <v>91</v>
      </c>
      <c r="F1" s="189"/>
      <c r="G1" s="189"/>
      <c r="H1" s="189"/>
      <c r="I1" s="190"/>
    </row>
    <row r="2" spans="1:9" ht="15" thickBot="1">
      <c r="A2" s="70" t="s">
        <v>78</v>
      </c>
      <c r="B2" s="74">
        <v>46</v>
      </c>
      <c r="C2" s="71" t="s">
        <v>11</v>
      </c>
      <c r="E2" s="91" t="s">
        <v>92</v>
      </c>
      <c r="F2" s="133" t="s">
        <v>63</v>
      </c>
      <c r="G2" s="125" t="s">
        <v>64</v>
      </c>
      <c r="H2" s="92" t="s">
        <v>65</v>
      </c>
      <c r="I2" s="93" t="s">
        <v>66</v>
      </c>
    </row>
    <row r="3" spans="1:9" ht="15" thickBot="1">
      <c r="A3" s="58" t="s">
        <v>84</v>
      </c>
      <c r="B3" s="75">
        <v>120</v>
      </c>
      <c r="C3" s="59" t="s">
        <v>11</v>
      </c>
      <c r="E3" s="66" t="s">
        <v>67</v>
      </c>
      <c r="F3" s="134">
        <f>(-C20-1)*(Co/Cm+Tc)</f>
        <v>2.2062162162162164</v>
      </c>
      <c r="G3" s="126">
        <f>(-C20-1)*Tc</f>
        <v>0.99</v>
      </c>
      <c r="H3" s="78">
        <f>B23</f>
        <v>15</v>
      </c>
      <c r="I3" s="65" t="s">
        <v>68</v>
      </c>
    </row>
    <row r="4" spans="1:9" ht="15" thickBot="1">
      <c r="A4" s="182"/>
      <c r="B4" s="183"/>
      <c r="C4" s="184"/>
      <c r="E4" s="60" t="s">
        <v>69</v>
      </c>
      <c r="F4" s="135">
        <f>((C17*ap^C18*fz^C19)/F3)^(-1/C20)</f>
        <v>56.335850269057985</v>
      </c>
      <c r="G4" s="127">
        <f>((C17*ap^C18*fz^C19)/G3)^(-1/C20)</f>
        <v>68.831632966183079</v>
      </c>
      <c r="H4" s="84">
        <f>((C17*ap^C18*fz^C19)/H3)^(-1/C20)</f>
        <v>34.887837979736858</v>
      </c>
      <c r="I4" s="63" t="s">
        <v>9</v>
      </c>
    </row>
    <row r="5" spans="1:9" ht="15" thickBot="1">
      <c r="A5" s="191" t="s">
        <v>79</v>
      </c>
      <c r="B5" s="192"/>
      <c r="C5" s="193"/>
      <c r="E5" s="80" t="s">
        <v>99</v>
      </c>
      <c r="F5" s="136">
        <f>Lu*PI()*D/(1000*F4*fz)</f>
        <v>2.0521676534560549</v>
      </c>
      <c r="G5" s="128">
        <f>Lu*PI()*D/(1000*G4*fz)</f>
        <v>1.6796145125440181</v>
      </c>
      <c r="H5" s="83">
        <f>Lu*PI()*D/(1000*H4*fz)</f>
        <v>3.3137797108336704</v>
      </c>
      <c r="I5" s="81" t="s">
        <v>101</v>
      </c>
    </row>
    <row r="6" spans="1:9" ht="15" thickBot="1">
      <c r="A6" s="70" t="s">
        <v>85</v>
      </c>
      <c r="B6" s="74">
        <v>3.33</v>
      </c>
      <c r="C6" s="71" t="s">
        <v>93</v>
      </c>
      <c r="E6" s="182"/>
      <c r="F6" s="183"/>
      <c r="G6" s="183"/>
      <c r="H6" s="183"/>
      <c r="I6" s="184"/>
    </row>
    <row r="7" spans="1:9">
      <c r="A7" s="56" t="s">
        <v>86</v>
      </c>
      <c r="B7" s="76">
        <v>1.35</v>
      </c>
      <c r="C7" s="57" t="s">
        <v>98</v>
      </c>
      <c r="E7" s="82" t="s">
        <v>70</v>
      </c>
      <c r="F7" s="137">
        <f>Cm*F5</f>
        <v>6.8337182860086632</v>
      </c>
      <c r="G7" s="129">
        <f>Cm*G5</f>
        <v>5.5931163267715807</v>
      </c>
      <c r="H7" s="85">
        <f>Cm*H5</f>
        <v>11.034886437076123</v>
      </c>
      <c r="I7" s="62" t="s">
        <v>104</v>
      </c>
    </row>
    <row r="8" spans="1:9">
      <c r="A8" s="56" t="s">
        <v>87</v>
      </c>
      <c r="B8" s="76">
        <v>0.38</v>
      </c>
      <c r="C8" s="57" t="s">
        <v>15</v>
      </c>
      <c r="E8" s="60" t="s">
        <v>71</v>
      </c>
      <c r="F8" s="138">
        <f>Co*F5/F3</f>
        <v>1.2557365464918526</v>
      </c>
      <c r="G8" s="130">
        <f>Co*G5/G3</f>
        <v>2.2903834261963882</v>
      </c>
      <c r="H8" s="79">
        <f>Co*H5/H3</f>
        <v>0.29824017397503039</v>
      </c>
      <c r="I8" s="63" t="s">
        <v>104</v>
      </c>
    </row>
    <row r="9" spans="1:9" ht="15" thickBot="1">
      <c r="A9" s="58" t="s">
        <v>80</v>
      </c>
      <c r="B9" s="75">
        <v>0.33</v>
      </c>
      <c r="C9" s="59" t="s">
        <v>15</v>
      </c>
      <c r="E9" s="60" t="s">
        <v>72</v>
      </c>
      <c r="F9" s="138">
        <f>Tc*Cm*F5/F3</f>
        <v>1.0221695488443681</v>
      </c>
      <c r="G9" s="130">
        <f>Tc*Cm*G5/G3</f>
        <v>1.8643721089238598</v>
      </c>
      <c r="H9" s="79">
        <f>Tc*Cm*H5/H3</f>
        <v>0.24276750161567467</v>
      </c>
      <c r="I9" s="63" t="s">
        <v>104</v>
      </c>
    </row>
    <row r="10" spans="1:9" ht="15" thickBot="1">
      <c r="A10" s="182"/>
      <c r="B10" s="183"/>
      <c r="C10" s="184"/>
      <c r="E10" s="60" t="s">
        <v>73</v>
      </c>
      <c r="F10" s="138">
        <f>Ta*Cm</f>
        <v>1.2654000000000001</v>
      </c>
      <c r="G10" s="130">
        <f>Ta*Cm</f>
        <v>1.2654000000000001</v>
      </c>
      <c r="H10" s="79">
        <f>Ta*Cm</f>
        <v>1.2654000000000001</v>
      </c>
      <c r="I10" s="63" t="s">
        <v>104</v>
      </c>
    </row>
    <row r="11" spans="1:9" ht="15" thickBot="1">
      <c r="A11" s="191" t="s">
        <v>88</v>
      </c>
      <c r="B11" s="192"/>
      <c r="C11" s="193"/>
      <c r="E11" s="61" t="s">
        <v>74</v>
      </c>
      <c r="F11" s="139">
        <f>SUM(F7:F10)</f>
        <v>10.377024381344885</v>
      </c>
      <c r="G11" s="131">
        <f t="shared" ref="G11:H11" si="0">SUM(G7:G10)</f>
        <v>11.013271861891829</v>
      </c>
      <c r="H11" s="86">
        <f t="shared" si="0"/>
        <v>12.841294112666827</v>
      </c>
      <c r="I11" s="64" t="s">
        <v>104</v>
      </c>
    </row>
    <row r="12" spans="1:9" ht="15" thickBot="1">
      <c r="A12" s="70" t="s">
        <v>81</v>
      </c>
      <c r="B12" s="74">
        <v>2</v>
      </c>
      <c r="C12" s="71" t="s">
        <v>11</v>
      </c>
      <c r="E12" s="182"/>
      <c r="F12" s="183"/>
      <c r="G12" s="183"/>
      <c r="H12" s="183"/>
      <c r="I12" s="184"/>
    </row>
    <row r="13" spans="1:9" ht="15" thickBot="1">
      <c r="A13" s="58" t="s">
        <v>89</v>
      </c>
      <c r="B13" s="75">
        <v>0.15</v>
      </c>
      <c r="C13" s="59" t="s">
        <v>10</v>
      </c>
      <c r="E13" s="66" t="s">
        <v>75</v>
      </c>
      <c r="F13" s="134">
        <f>60/(F5+Tc*F5/F3+Ta)</f>
        <v>21.90480156064709</v>
      </c>
      <c r="G13" s="126">
        <f>60/(G5+Tc*G5/G3+Ta)</f>
        <v>22.905256839281215</v>
      </c>
      <c r="H13" s="77">
        <f>60/(H5+Tc*H5/H3+Ta)</f>
        <v>15.9291350397269</v>
      </c>
      <c r="I13" s="65" t="s">
        <v>76</v>
      </c>
    </row>
    <row r="14" spans="1:9" ht="15" thickBot="1">
      <c r="A14" s="182"/>
      <c r="B14" s="183"/>
      <c r="C14" s="184"/>
      <c r="E14" s="61" t="s">
        <v>77</v>
      </c>
      <c r="F14" s="140">
        <f>F3/F5</f>
        <v>1.0750662659070416</v>
      </c>
      <c r="G14" s="132">
        <f t="shared" ref="G14:H14" si="1">G3/G5</f>
        <v>0.58942096094448626</v>
      </c>
      <c r="H14" s="87">
        <f t="shared" si="1"/>
        <v>4.5265531534763204</v>
      </c>
      <c r="I14" s="64" t="s">
        <v>105</v>
      </c>
    </row>
    <row r="15" spans="1:9" ht="15" thickBot="1">
      <c r="A15" s="194" t="s">
        <v>82</v>
      </c>
      <c r="B15" s="195"/>
      <c r="C15" s="196"/>
    </row>
    <row r="16" spans="1:9">
      <c r="A16" s="197" t="s">
        <v>90</v>
      </c>
      <c r="B16" s="198"/>
      <c r="C16" s="199"/>
    </row>
    <row r="17" spans="1:3">
      <c r="A17" s="67" t="s">
        <v>94</v>
      </c>
      <c r="B17" s="68" t="s">
        <v>44</v>
      </c>
      <c r="C17" s="69">
        <f>'Modèle de durée de vie'!B58</f>
        <v>1000000</v>
      </c>
    </row>
    <row r="18" spans="1:3">
      <c r="A18" s="67" t="s">
        <v>95</v>
      </c>
      <c r="B18" s="68" t="s">
        <v>47</v>
      </c>
      <c r="C18" s="69">
        <f>'Modèle de durée de vie'!H58</f>
        <v>-1</v>
      </c>
    </row>
    <row r="19" spans="1:3">
      <c r="A19" s="67" t="s">
        <v>96</v>
      </c>
      <c r="B19" s="68" t="s">
        <v>46</v>
      </c>
      <c r="C19" s="69">
        <f>'Modèle de durée de vie'!F58</f>
        <v>-2</v>
      </c>
    </row>
    <row r="20" spans="1:3" ht="15" thickBot="1">
      <c r="A20" s="72" t="s">
        <v>97</v>
      </c>
      <c r="B20" s="73" t="s">
        <v>45</v>
      </c>
      <c r="C20" s="108">
        <f>'Modèle de durée de vie'!D58</f>
        <v>-4</v>
      </c>
    </row>
    <row r="21" spans="1:3" ht="15" thickBot="1">
      <c r="A21" s="182"/>
      <c r="B21" s="183"/>
      <c r="C21" s="184"/>
    </row>
    <row r="22" spans="1:3" ht="15" thickBot="1">
      <c r="A22" s="185" t="s">
        <v>102</v>
      </c>
      <c r="B22" s="186"/>
      <c r="C22" s="187"/>
    </row>
    <row r="23" spans="1:3" ht="15" thickBot="1">
      <c r="A23" s="89" t="s">
        <v>103</v>
      </c>
      <c r="B23" s="90">
        <v>15</v>
      </c>
      <c r="C23" s="88" t="s">
        <v>100</v>
      </c>
    </row>
  </sheetData>
  <sheetProtection algorithmName="SHA-512" hashValue="4ss9+q/sYaeMkj4omTgkY+WWP2tn50az71G1stD1YSqvZcWh6AGGFr/sdbB5YD6j6jF/Wglf1OrnOi3dG8SrqA==" saltValue="7m12wunCiss+AI2tpFJAPA==" spinCount="100000" sheet="1" objects="1" scenarios="1"/>
  <protectedRanges>
    <protectedRange sqref="B2:B3 B6:B9 B12:B13 B23" name="Plage1"/>
  </protectedRanges>
  <mergeCells count="13">
    <mergeCell ref="A21:C21"/>
    <mergeCell ref="A22:C22"/>
    <mergeCell ref="E6:I6"/>
    <mergeCell ref="E12:I12"/>
    <mergeCell ref="E1:I1"/>
    <mergeCell ref="A1:C1"/>
    <mergeCell ref="A5:C5"/>
    <mergeCell ref="A11:C11"/>
    <mergeCell ref="A15:C15"/>
    <mergeCell ref="A4:C4"/>
    <mergeCell ref="A10:C10"/>
    <mergeCell ref="A14:C14"/>
    <mergeCell ref="A16:C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J29" sqref="J29"/>
    </sheetView>
  </sheetViews>
  <sheetFormatPr baseColWidth="10" defaultRowHeight="14" x14ac:dyDescent="0"/>
  <sheetData>
    <row r="1" spans="1:13">
      <c r="A1" t="s">
        <v>106</v>
      </c>
      <c r="B1">
        <f>MIN(10,B2/2)</f>
        <v>10</v>
      </c>
      <c r="E1" t="s">
        <v>110</v>
      </c>
      <c r="F1" t="s">
        <v>116</v>
      </c>
      <c r="G1" t="s">
        <v>117</v>
      </c>
      <c r="H1" t="s">
        <v>111</v>
      </c>
      <c r="I1" t="s">
        <v>112</v>
      </c>
      <c r="J1" t="s">
        <v>119</v>
      </c>
      <c r="K1" t="s">
        <v>113</v>
      </c>
      <c r="L1" t="s">
        <v>114</v>
      </c>
      <c r="M1" t="s">
        <v>115</v>
      </c>
    </row>
    <row r="2" spans="1:13">
      <c r="A2" t="s">
        <v>107</v>
      </c>
      <c r="B2">
        <f>MAX('Optimisation de l''usinage'!F4:G4)</f>
        <v>68.831632966183079</v>
      </c>
      <c r="E2" s="94">
        <f>B1</f>
        <v>10</v>
      </c>
      <c r="F2" s="96">
        <f>$B$6*E2^'Optimisation de l''usinage'!$C$20</f>
        <v>2222.2222222222222</v>
      </c>
      <c r="G2" s="95">
        <f t="shared" ref="G2:G22" si="0">Lu*PI()*D/(1000*E2*fz)</f>
        <v>11.561060965210437</v>
      </c>
      <c r="H2">
        <f t="shared" ref="H2:H22" si="1">Ta*Cm</f>
        <v>1.2654000000000001</v>
      </c>
      <c r="I2" s="95">
        <f t="shared" ref="I2:I22" si="2">Cm*G2</f>
        <v>38.498333014150759</v>
      </c>
      <c r="J2" s="95">
        <f t="shared" ref="J2:J22" si="3">Co*G2/F2</f>
        <v>7.023344536365341E-3</v>
      </c>
      <c r="K2" s="95">
        <f t="shared" ref="K2:K22" si="4">Tc*Cm*G2/F2</f>
        <v>5.7170024526013875E-3</v>
      </c>
      <c r="L2">
        <f>SUM(H2:K2)</f>
        <v>39.776473361139722</v>
      </c>
      <c r="M2" s="95">
        <f t="shared" ref="M2:M22" si="5">60/(G2+Tc*G2/F2+Ta)</f>
        <v>5.0239568290882932</v>
      </c>
    </row>
    <row r="3" spans="1:13">
      <c r="A3" t="s">
        <v>108</v>
      </c>
      <c r="B3">
        <f>2*B2</f>
        <v>137.66326593236616</v>
      </c>
      <c r="E3" s="94">
        <f>E2+$B$4</f>
        <v>16.383163296618307</v>
      </c>
      <c r="F3" s="96">
        <f>$B$6*E3^'Optimisation de l''usinage'!$C$20</f>
        <v>308.45828958013209</v>
      </c>
      <c r="G3" s="95">
        <f t="shared" si="0"/>
        <v>7.0566719966691593</v>
      </c>
      <c r="H3">
        <f t="shared" si="1"/>
        <v>1.2654000000000001</v>
      </c>
      <c r="I3" s="95">
        <f t="shared" si="2"/>
        <v>23.498717748908302</v>
      </c>
      <c r="J3" s="95">
        <f t="shared" si="3"/>
        <v>3.0884263828573635E-2</v>
      </c>
      <c r="K3" s="95">
        <f t="shared" si="4"/>
        <v>2.5139790756458936E-2</v>
      </c>
      <c r="L3">
        <f t="shared" ref="L3:L22" si="6">SUM(H3:K3)</f>
        <v>24.820141803493335</v>
      </c>
      <c r="M3" s="95">
        <f t="shared" si="5"/>
        <v>8.059942887773234</v>
      </c>
    </row>
    <row r="4" spans="1:13">
      <c r="A4" t="s">
        <v>109</v>
      </c>
      <c r="B4">
        <f>(B3-B1)/20</f>
        <v>6.3831632966183083</v>
      </c>
      <c r="E4" s="94">
        <f t="shared" ref="E4:E21" si="7">E3+$B$4</f>
        <v>22.766326593236613</v>
      </c>
      <c r="F4" s="96">
        <f>$B$6*E4^'Optimisation de l''usinage'!$C$20</f>
        <v>82.720973999473358</v>
      </c>
      <c r="G4" s="95">
        <f t="shared" si="0"/>
        <v>5.0781406995386691</v>
      </c>
      <c r="H4">
        <f t="shared" si="1"/>
        <v>1.2654000000000001</v>
      </c>
      <c r="I4" s="95">
        <f t="shared" si="2"/>
        <v>16.91020852946377</v>
      </c>
      <c r="J4" s="95">
        <f t="shared" si="3"/>
        <v>8.2874869732806208E-2</v>
      </c>
      <c r="K4" s="95">
        <f t="shared" si="4"/>
        <v>6.7460143962504243E-2</v>
      </c>
      <c r="L4">
        <f t="shared" si="6"/>
        <v>18.325943543159077</v>
      </c>
      <c r="M4" s="95">
        <f t="shared" si="5"/>
        <v>10.95210480082434</v>
      </c>
    </row>
    <row r="5" spans="1:13">
      <c r="E5" s="94">
        <f t="shared" si="7"/>
        <v>29.14948988985492</v>
      </c>
      <c r="F5" s="96">
        <f>$B$6*E5^'Optimisation de l''usinage'!$C$20</f>
        <v>30.779648068214037</v>
      </c>
      <c r="G5" s="95">
        <f t="shared" si="0"/>
        <v>3.9661280553777742</v>
      </c>
      <c r="H5">
        <f t="shared" si="1"/>
        <v>1.2654000000000001</v>
      </c>
      <c r="I5" s="95">
        <f t="shared" si="2"/>
        <v>13.207206424407989</v>
      </c>
      <c r="J5" s="95">
        <f t="shared" si="3"/>
        <v>0.17395497384810329</v>
      </c>
      <c r="K5" s="95">
        <f t="shared" si="4"/>
        <v>0.14159934871235605</v>
      </c>
      <c r="L5">
        <f t="shared" si="6"/>
        <v>14.788160746968448</v>
      </c>
      <c r="M5" s="95">
        <f t="shared" si="5"/>
        <v>13.671629036966804</v>
      </c>
    </row>
    <row r="6" spans="1:13">
      <c r="A6" t="s">
        <v>118</v>
      </c>
      <c r="B6">
        <f>'Optimisation de l''usinage'!C17*ap^'Optimisation de l''usinage'!C18*fz^'Optimisation de l''usinage'!C19</f>
        <v>22222222.22222222</v>
      </c>
      <c r="E6" s="94">
        <f t="shared" si="7"/>
        <v>35.532653186473226</v>
      </c>
      <c r="F6" s="96">
        <f>$B$6*E6^'Optimisation de l''usinage'!$C$20</f>
        <v>13.940454656282625</v>
      </c>
      <c r="G6" s="95">
        <f t="shared" si="0"/>
        <v>3.2536441634512023</v>
      </c>
      <c r="H6">
        <f t="shared" si="1"/>
        <v>1.2654000000000001</v>
      </c>
      <c r="I6" s="95">
        <f t="shared" si="2"/>
        <v>10.834635064292504</v>
      </c>
      <c r="J6" s="95">
        <f t="shared" si="3"/>
        <v>0.31508438777350539</v>
      </c>
      <c r="K6" s="95">
        <f t="shared" si="4"/>
        <v>0.25647869164763337</v>
      </c>
      <c r="L6">
        <f t="shared" si="6"/>
        <v>12.671598143713641</v>
      </c>
      <c r="M6" s="95">
        <f t="shared" si="5"/>
        <v>16.169609320747959</v>
      </c>
    </row>
    <row r="7" spans="1:13">
      <c r="E7" s="94">
        <f t="shared" si="7"/>
        <v>41.915816483091533</v>
      </c>
      <c r="F7" s="96">
        <f>$B$6*E7^'Optimisation de l''usinage'!$C$20</f>
        <v>7.1990595367172618</v>
      </c>
      <c r="G7" s="95">
        <f t="shared" si="0"/>
        <v>2.7581619386739291</v>
      </c>
      <c r="H7">
        <f t="shared" si="1"/>
        <v>1.2654000000000001</v>
      </c>
      <c r="I7" s="95">
        <f t="shared" si="2"/>
        <v>9.1846792557841841</v>
      </c>
      <c r="J7" s="95">
        <f t="shared" si="3"/>
        <v>0.51722292310805251</v>
      </c>
      <c r="K7" s="95">
        <f t="shared" si="4"/>
        <v>0.42101945940995472</v>
      </c>
      <c r="L7">
        <f t="shared" si="6"/>
        <v>11.388321638302191</v>
      </c>
      <c r="M7" s="95">
        <f t="shared" si="5"/>
        <v>18.379007056641555</v>
      </c>
    </row>
    <row r="8" spans="1:13">
      <c r="E8" s="94">
        <f t="shared" si="7"/>
        <v>48.298979779709839</v>
      </c>
      <c r="F8" s="96">
        <f>$B$6*E8^'Optimisation de l''usinage'!$C$20</f>
        <v>4.0835291232636868</v>
      </c>
      <c r="G8" s="95">
        <f t="shared" si="0"/>
        <v>2.3936449626762473</v>
      </c>
      <c r="H8">
        <f t="shared" si="1"/>
        <v>1.2654000000000001</v>
      </c>
      <c r="I8" s="95">
        <f t="shared" si="2"/>
        <v>7.9708377257119034</v>
      </c>
      <c r="J8" s="95">
        <f t="shared" si="3"/>
        <v>0.79133039145078499</v>
      </c>
      <c r="K8" s="95">
        <f t="shared" si="4"/>
        <v>0.64414293864093886</v>
      </c>
      <c r="L8">
        <f t="shared" si="6"/>
        <v>10.671711055803629</v>
      </c>
      <c r="M8" s="95">
        <f t="shared" si="5"/>
        <v>20.221892939899881</v>
      </c>
    </row>
    <row r="9" spans="1:13">
      <c r="A9">
        <v>0</v>
      </c>
      <c r="E9" s="94">
        <f t="shared" si="7"/>
        <v>54.682143076328146</v>
      </c>
      <c r="F9" s="96">
        <f>$B$6*E9^'Optimisation de l''usinage'!$C$20</f>
        <v>2.4854519906617725</v>
      </c>
      <c r="G9" s="95">
        <f t="shared" si="0"/>
        <v>2.1142296762350581</v>
      </c>
      <c r="H9">
        <f t="shared" si="1"/>
        <v>1.2654000000000001</v>
      </c>
      <c r="I9" s="95">
        <f t="shared" si="2"/>
        <v>7.0403848218627436</v>
      </c>
      <c r="J9" s="95">
        <f t="shared" si="3"/>
        <v>1.1483666044007439</v>
      </c>
      <c r="K9" s="95">
        <f t="shared" si="4"/>
        <v>0.93477041598220523</v>
      </c>
      <c r="L9">
        <f t="shared" si="6"/>
        <v>10.388921842245693</v>
      </c>
      <c r="M9" s="95">
        <f t="shared" si="5"/>
        <v>21.622077338135874</v>
      </c>
    </row>
    <row r="10" spans="1:13">
      <c r="E10" s="94">
        <f t="shared" si="7"/>
        <v>61.065306372946452</v>
      </c>
      <c r="F10" s="96">
        <f>$B$6*E10^'Optimisation de l''usinage'!$C$20</f>
        <v>1.5981197725836402</v>
      </c>
      <c r="G10" s="95">
        <f t="shared" si="0"/>
        <v>1.8932290120028439</v>
      </c>
      <c r="H10">
        <f t="shared" si="1"/>
        <v>1.2654000000000001</v>
      </c>
      <c r="I10" s="95">
        <f t="shared" si="2"/>
        <v>6.30445260996947</v>
      </c>
      <c r="J10" s="95">
        <f t="shared" si="3"/>
        <v>1.599291373556968</v>
      </c>
      <c r="K10" s="95">
        <f t="shared" si="4"/>
        <v>1.3018231780753717</v>
      </c>
      <c r="L10">
        <f t="shared" si="6"/>
        <v>10.470967161601809</v>
      </c>
      <c r="M10" s="95">
        <f t="shared" si="5"/>
        <v>22.521111543463238</v>
      </c>
    </row>
    <row r="11" spans="1:13">
      <c r="E11" s="94">
        <f t="shared" si="7"/>
        <v>67.448469669564759</v>
      </c>
      <c r="F11" s="96">
        <f>$B$6*E11^'Optimisation de l''usinage'!$C$20</f>
        <v>1.0737398818298207</v>
      </c>
      <c r="G11" s="95">
        <f t="shared" si="0"/>
        <v>1.7140583058220542</v>
      </c>
      <c r="H11">
        <f t="shared" si="1"/>
        <v>1.2654000000000001</v>
      </c>
      <c r="I11" s="95">
        <f t="shared" si="2"/>
        <v>5.7078141583874409</v>
      </c>
      <c r="J11" s="95">
        <f t="shared" si="3"/>
        <v>2.1550645105184989</v>
      </c>
      <c r="K11" s="95">
        <f t="shared" si="4"/>
        <v>1.754222511562058</v>
      </c>
      <c r="L11">
        <f t="shared" si="6"/>
        <v>10.882501180467997</v>
      </c>
      <c r="M11" s="95">
        <f t="shared" si="5"/>
        <v>22.893319946732557</v>
      </c>
    </row>
    <row r="12" spans="1:13">
      <c r="E12" s="94">
        <f t="shared" si="7"/>
        <v>73.831632966183065</v>
      </c>
      <c r="F12" s="96">
        <f>$B$6*E12^'Optimisation de l''usinage'!$C$20</f>
        <v>0.74785532475499628</v>
      </c>
      <c r="G12" s="95">
        <f t="shared" si="0"/>
        <v>1.5658682465422002</v>
      </c>
      <c r="H12">
        <f t="shared" si="1"/>
        <v>1.2654000000000001</v>
      </c>
      <c r="I12" s="95">
        <f t="shared" si="2"/>
        <v>5.2143412609855266</v>
      </c>
      <c r="J12" s="95">
        <f t="shared" si="3"/>
        <v>2.8266458268843766</v>
      </c>
      <c r="K12" s="95">
        <f t="shared" si="4"/>
        <v>2.3008897030838824</v>
      </c>
      <c r="L12">
        <f t="shared" si="6"/>
        <v>11.607276790953787</v>
      </c>
      <c r="M12" s="95">
        <f t="shared" si="5"/>
        <v>22.754629003039447</v>
      </c>
    </row>
    <row r="13" spans="1:13">
      <c r="A13" s="44"/>
      <c r="B13" s="44"/>
      <c r="C13" s="44"/>
      <c r="E13" s="94">
        <f t="shared" si="7"/>
        <v>80.214796262801372</v>
      </c>
      <c r="F13" s="96">
        <f>$B$6*E13^'Optimisation de l''usinage'!$C$20</f>
        <v>0.53674690283058024</v>
      </c>
      <c r="G13" s="95">
        <f t="shared" si="0"/>
        <v>1.4412628971011594</v>
      </c>
      <c r="H13">
        <f t="shared" si="1"/>
        <v>1.2654000000000001</v>
      </c>
      <c r="I13" s="95">
        <f t="shared" si="2"/>
        <v>4.799405447346861</v>
      </c>
      <c r="J13" s="95">
        <f t="shared" si="3"/>
        <v>3.6249951342536413</v>
      </c>
      <c r="K13" s="95">
        <f t="shared" si="4"/>
        <v>2.9507460392824636</v>
      </c>
      <c r="L13">
        <f t="shared" si="6"/>
        <v>12.640546620882967</v>
      </c>
      <c r="M13" s="95">
        <f t="shared" si="5"/>
        <v>22.161705836444614</v>
      </c>
    </row>
    <row r="14" spans="1:13">
      <c r="A14" s="44"/>
      <c r="B14" s="141"/>
      <c r="C14" s="44"/>
      <c r="E14" s="94">
        <f t="shared" si="7"/>
        <v>86.597959559419678</v>
      </c>
      <c r="F14" s="96">
        <f>$B$6*E14^'Optimisation de l''usinage'!$C$20</f>
        <v>0.39514532620216691</v>
      </c>
      <c r="G14" s="95">
        <f t="shared" si="0"/>
        <v>1.3350269479822732</v>
      </c>
      <c r="H14">
        <f t="shared" si="1"/>
        <v>1.2654000000000001</v>
      </c>
      <c r="I14" s="95">
        <f t="shared" si="2"/>
        <v>4.4456397367809695</v>
      </c>
      <c r="J14" s="95">
        <f t="shared" si="3"/>
        <v>4.5610722442253335</v>
      </c>
      <c r="K14" s="95">
        <f t="shared" si="4"/>
        <v>3.7127128067994213</v>
      </c>
      <c r="L14">
        <f t="shared" si="6"/>
        <v>13.984824787805726</v>
      </c>
      <c r="M14" s="95">
        <f t="shared" si="5"/>
        <v>21.20174517274511</v>
      </c>
    </row>
    <row r="15" spans="1:13">
      <c r="A15" s="44"/>
      <c r="B15" s="141"/>
      <c r="C15" s="44"/>
      <c r="E15" s="94">
        <f t="shared" si="7"/>
        <v>92.981122856037985</v>
      </c>
      <c r="F15" s="96">
        <f>$B$6*E15^'Optimisation de l''usinage'!$C$20</f>
        <v>0.29730919447899073</v>
      </c>
      <c r="G15" s="95">
        <f t="shared" si="0"/>
        <v>1.2433772157290837</v>
      </c>
      <c r="H15">
        <f t="shared" si="1"/>
        <v>1.2654000000000001</v>
      </c>
      <c r="I15" s="95">
        <f t="shared" si="2"/>
        <v>4.1404461283778486</v>
      </c>
      <c r="J15" s="95">
        <f t="shared" si="3"/>
        <v>5.645836968398493</v>
      </c>
      <c r="K15" s="95">
        <f t="shared" si="4"/>
        <v>4.5957112922763725</v>
      </c>
      <c r="L15">
        <f t="shared" si="6"/>
        <v>15.647394389052714</v>
      </c>
      <c r="M15" s="95">
        <f t="shared" si="5"/>
        <v>19.976888758084108</v>
      </c>
    </row>
    <row r="16" spans="1:13">
      <c r="A16" s="44"/>
      <c r="B16" s="141"/>
      <c r="C16" s="44"/>
      <c r="E16" s="94">
        <f>E15+$B$4</f>
        <v>99.364286152656291</v>
      </c>
      <c r="F16" s="96">
        <f>$B$6*E16^'Optimisation de l''usinage'!$C$20</f>
        <v>0.22796397377485048</v>
      </c>
      <c r="G16" s="95">
        <f t="shared" si="0"/>
        <v>1.1635026439427982</v>
      </c>
      <c r="H16">
        <f t="shared" si="1"/>
        <v>1.2654000000000001</v>
      </c>
      <c r="I16" s="95">
        <f t="shared" si="2"/>
        <v>3.8744638043295181</v>
      </c>
      <c r="J16" s="95">
        <f t="shared" si="3"/>
        <v>6.8902491183721599</v>
      </c>
      <c r="K16" s="95">
        <f t="shared" si="4"/>
        <v>5.608662782354938</v>
      </c>
      <c r="L16">
        <f t="shared" si="6"/>
        <v>17.638775705056617</v>
      </c>
      <c r="M16" s="95">
        <f t="shared" si="5"/>
        <v>18.588594296032838</v>
      </c>
    </row>
    <row r="17" spans="1:13">
      <c r="A17" s="44"/>
      <c r="B17" s="141"/>
      <c r="C17" s="44"/>
      <c r="E17" s="94">
        <f t="shared" si="7"/>
        <v>105.7474494492746</v>
      </c>
      <c r="F17" s="96">
        <f>$B$6*E17^'Optimisation de l''usinage'!$C$20</f>
        <v>0.17770836901187734</v>
      </c>
      <c r="G17" s="95">
        <f t="shared" si="0"/>
        <v>1.0932709039716459</v>
      </c>
      <c r="H17">
        <f t="shared" si="1"/>
        <v>1.2654000000000001</v>
      </c>
      <c r="I17" s="95">
        <f t="shared" si="2"/>
        <v>3.6405921102255809</v>
      </c>
      <c r="J17" s="95">
        <f t="shared" si="3"/>
        <v>8.3052685057453743</v>
      </c>
      <c r="K17" s="95">
        <f t="shared" si="4"/>
        <v>6.7604885636767342</v>
      </c>
      <c r="L17">
        <f t="shared" si="6"/>
        <v>19.971749179647688</v>
      </c>
      <c r="M17" s="95">
        <f t="shared" si="5"/>
        <v>17.125987312261923</v>
      </c>
    </row>
    <row r="18" spans="1:13">
      <c r="A18" s="44"/>
      <c r="B18" s="141"/>
      <c r="C18" s="44"/>
      <c r="E18" s="94">
        <f t="shared" si="7"/>
        <v>112.1306127458929</v>
      </c>
      <c r="F18" s="96">
        <f>$B$6*E18^'Optimisation de l''usinage'!$C$20</f>
        <v>0.14056937201513311</v>
      </c>
      <c r="G18" s="95">
        <f t="shared" si="0"/>
        <v>1.0310352081469289</v>
      </c>
      <c r="H18">
        <f t="shared" si="1"/>
        <v>1.2654000000000001</v>
      </c>
      <c r="I18" s="95">
        <f t="shared" si="2"/>
        <v>3.4333472431292735</v>
      </c>
      <c r="J18" s="95">
        <f t="shared" si="3"/>
        <v>9.9018549421171791</v>
      </c>
      <c r="K18" s="95">
        <f t="shared" si="4"/>
        <v>8.0601099228833828</v>
      </c>
      <c r="L18">
        <f t="shared" si="6"/>
        <v>22.660712108129836</v>
      </c>
      <c r="M18" s="95">
        <f t="shared" si="5"/>
        <v>15.659709753020193</v>
      </c>
    </row>
    <row r="19" spans="1:13">
      <c r="A19" s="44"/>
      <c r="B19" s="44"/>
      <c r="C19" s="44"/>
      <c r="E19" s="94">
        <f t="shared" si="7"/>
        <v>118.51377604251121</v>
      </c>
      <c r="F19" s="96">
        <f>$B$6*E19^'Optimisation de l''usinage'!$C$20</f>
        <v>0.11264505814317835</v>
      </c>
      <c r="G19" s="95">
        <f t="shared" si="0"/>
        <v>0.97550355336441674</v>
      </c>
      <c r="H19">
        <f t="shared" si="1"/>
        <v>1.2654000000000001</v>
      </c>
      <c r="I19" s="95">
        <f t="shared" si="2"/>
        <v>3.2484268327035077</v>
      </c>
      <c r="J19" s="95">
        <f t="shared" si="3"/>
        <v>11.69096823908661</v>
      </c>
      <c r="K19" s="95">
        <f t="shared" si="4"/>
        <v>9.5164481466165007</v>
      </c>
      <c r="L19">
        <f t="shared" si="6"/>
        <v>25.721243218406617</v>
      </c>
      <c r="M19" s="95">
        <f t="shared" si="5"/>
        <v>14.240633223119016</v>
      </c>
    </row>
    <row r="20" spans="1:13">
      <c r="A20" s="44"/>
      <c r="B20" s="44"/>
      <c r="C20" s="44"/>
      <c r="E20" s="94">
        <f>E19+$B$4</f>
        <v>124.89693933912952</v>
      </c>
      <c r="F20" s="96">
        <f>$B$6*E20^'Optimisation de l''usinage'!$C$20</f>
        <v>9.1323027923238945E-2</v>
      </c>
      <c r="G20" s="95">
        <f t="shared" si="0"/>
        <v>0.92564806042356096</v>
      </c>
      <c r="H20">
        <f t="shared" si="1"/>
        <v>1.2654000000000001</v>
      </c>
      <c r="I20" s="95">
        <f t="shared" si="2"/>
        <v>3.0824080412104582</v>
      </c>
      <c r="J20" s="95">
        <f t="shared" si="3"/>
        <v>13.683568208252716</v>
      </c>
      <c r="K20" s="95">
        <f t="shared" si="4"/>
        <v>11.13842452151771</v>
      </c>
      <c r="L20">
        <f t="shared" si="6"/>
        <v>29.169800770980881</v>
      </c>
      <c r="M20" s="95">
        <f t="shared" si="5"/>
        <v>12.901782224352814</v>
      </c>
    </row>
    <row r="21" spans="1:13">
      <c r="A21" s="44"/>
      <c r="B21" s="44"/>
      <c r="C21" s="44"/>
      <c r="E21" s="94">
        <f t="shared" si="7"/>
        <v>131.28010263574782</v>
      </c>
      <c r="F21" s="96">
        <f>$B$6*E21^'Optimisation de l''usinage'!$C$20</f>
        <v>7.481554706161872E-2</v>
      </c>
      <c r="G21" s="95">
        <f t="shared" si="0"/>
        <v>0.88064076224010657</v>
      </c>
      <c r="H21">
        <f t="shared" si="1"/>
        <v>1.2654000000000001</v>
      </c>
      <c r="I21" s="95">
        <f t="shared" si="2"/>
        <v>2.9325337382595551</v>
      </c>
      <c r="J21" s="95">
        <f t="shared" si="3"/>
        <v>15.89061466121453</v>
      </c>
      <c r="K21" s="95">
        <f t="shared" si="4"/>
        <v>12.934960334228625</v>
      </c>
      <c r="L21">
        <f t="shared" si="6"/>
        <v>33.023508733702712</v>
      </c>
      <c r="M21" s="95">
        <f t="shared" si="5"/>
        <v>11.661777581455821</v>
      </c>
    </row>
    <row r="22" spans="1:13">
      <c r="E22" s="94">
        <f>E21+$B$4</f>
        <v>137.66326593236613</v>
      </c>
      <c r="F22" s="96">
        <f>$B$6*E22^'Optimisation de l''usinage'!$C$20</f>
        <v>6.1875000000000097E-2</v>
      </c>
      <c r="G22" s="95">
        <f t="shared" si="0"/>
        <v>0.83980725627200936</v>
      </c>
      <c r="H22">
        <f t="shared" si="1"/>
        <v>1.2654000000000001</v>
      </c>
      <c r="I22" s="95">
        <f t="shared" si="2"/>
        <v>2.7965581633857912</v>
      </c>
      <c r="J22" s="95">
        <f t="shared" si="3"/>
        <v>18.323067409571085</v>
      </c>
      <c r="K22" s="95">
        <f t="shared" si="4"/>
        <v>14.914976871390863</v>
      </c>
      <c r="L22">
        <f t="shared" si="6"/>
        <v>37.30000244434774</v>
      </c>
      <c r="M22" s="95">
        <f t="shared" si="5"/>
        <v>10.528570584968097</v>
      </c>
    </row>
    <row r="23" spans="1:13">
      <c r="E23" s="94"/>
    </row>
  </sheetData>
  <sheetProtection algorithmName="SHA-512" hashValue="rEWYm+aHyN5gsFhYa8t/YobgnHme5JTx8hS8jh8AafXKs+SeGCn1pYfr7at/KoHnFstqfLKjHDb2e10nvx0H5A==" saltValue="CUq9M+gwSphA0fAz/Sp3nw==" spinCount="100000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Modèle de durée de vie</vt:lpstr>
      <vt:lpstr>Évolution de l'usure</vt:lpstr>
      <vt:lpstr>Données matériau</vt:lpstr>
      <vt:lpstr>Optimisation de l'usinage</vt:lpstr>
      <vt:lpstr>CalculPourGraphe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2020-03-16T12:55:46Z</dcterms:modified>
</cp:coreProperties>
</file>