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el\Desktop\"/>
    </mc:Choice>
  </mc:AlternateContent>
  <bookViews>
    <workbookView xWindow="240" yWindow="108" windowWidth="14880" windowHeight="7140"/>
  </bookViews>
  <sheets>
    <sheet name="s 1_janvier 2014" sheetId="3" r:id="rId1"/>
  </sheets>
  <calcPr calcId="162913"/>
</workbook>
</file>

<file path=xl/calcChain.xml><?xml version="1.0" encoding="utf-8"?>
<calcChain xmlns="http://schemas.openxmlformats.org/spreadsheetml/2006/main">
  <c r="E8" i="3" l="1"/>
  <c r="I8" i="3" s="1"/>
  <c r="O10" i="3" l="1"/>
  <c r="O20" i="3"/>
  <c r="O8" i="3"/>
  <c r="B9" i="3" l="1"/>
  <c r="B8" i="3"/>
  <c r="P10" i="3"/>
  <c r="C14" i="3"/>
  <c r="E6" i="3" s="1"/>
  <c r="C13" i="3"/>
  <c r="E7" i="3" l="1"/>
  <c r="F8" i="3"/>
  <c r="J8" i="3" s="1"/>
  <c r="C4" i="3"/>
  <c r="O21" i="3" s="1"/>
  <c r="C3" i="3"/>
  <c r="B10" i="3"/>
  <c r="B19" i="3" l="1"/>
  <c r="B18" i="3" s="1"/>
  <c r="B16" i="3" s="1"/>
  <c r="O11" i="3"/>
  <c r="O9" i="3" s="1"/>
  <c r="I7" i="3"/>
  <c r="I10" i="3" s="1"/>
  <c r="B17" i="3" l="1"/>
  <c r="I11" i="3"/>
  <c r="F7" i="3"/>
  <c r="F10" i="3" s="1"/>
  <c r="F11" i="3" s="1"/>
  <c r="J7" i="3" l="1"/>
  <c r="J11" i="3" l="1"/>
  <c r="F13" i="3"/>
  <c r="F14" i="3" l="1"/>
  <c r="F15" i="3" s="1"/>
  <c r="F17" i="3" s="1"/>
  <c r="F6" i="3"/>
  <c r="I6" i="3" l="1"/>
  <c r="I13" i="3" s="1"/>
  <c r="F12" i="3"/>
  <c r="J6" i="3"/>
  <c r="I12" i="3" l="1"/>
  <c r="I14" i="3" l="1"/>
  <c r="I15" i="3" s="1"/>
</calcChain>
</file>

<file path=xl/comments1.xml><?xml version="1.0" encoding="utf-8"?>
<comments xmlns="http://schemas.openxmlformats.org/spreadsheetml/2006/main">
  <authors>
    <author>pmichaud</author>
    <author>BILLON-LANFRAY Christine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 xml:space="preserve">roulement 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roulement 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</rPr>
          <t xml:space="preserve">Palier  56 : piston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BILLON-LANFRAY Christine:</t>
        </r>
        <r>
          <rPr>
            <sz val="9"/>
            <color indexed="81"/>
            <rFont val="Tahoma"/>
            <family val="2"/>
          </rPr>
          <t xml:space="preserve">
Fa = Ft*tan</t>
        </r>
        <r>
          <rPr>
            <sz val="9"/>
            <color indexed="81"/>
            <rFont val="Times New Roman"/>
            <family val="1"/>
          </rPr>
          <t>β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BILLON-LANFRAY Christine:</t>
        </r>
        <r>
          <rPr>
            <sz val="9"/>
            <color indexed="81"/>
            <rFont val="Tahoma"/>
            <family val="2"/>
          </rPr>
          <t xml:space="preserve">
Fr=Ft*tan</t>
        </r>
        <r>
          <rPr>
            <sz val="9"/>
            <color indexed="81"/>
            <rFont val="Times New Roman"/>
            <family val="1"/>
          </rPr>
          <t>α</t>
        </r>
        <r>
          <rPr>
            <sz val="9"/>
            <color indexed="81"/>
            <rFont val="Tahoma"/>
            <family val="2"/>
          </rPr>
          <t>/cos</t>
        </r>
        <r>
          <rPr>
            <sz val="9"/>
            <color indexed="81"/>
            <rFont val="Times New Roman"/>
            <family val="1"/>
          </rPr>
          <t>β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</rPr>
          <t>BILLON-LANFRAY Christine:</t>
        </r>
        <r>
          <rPr>
            <sz val="9"/>
            <color indexed="81"/>
            <rFont val="Tahoma"/>
            <family val="2"/>
          </rPr>
          <t xml:space="preserve">
enoncé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BILLON-LANFRAY Christine:</t>
        </r>
        <r>
          <rPr>
            <sz val="9"/>
            <color indexed="81"/>
            <rFont val="Tahoma"/>
            <family val="2"/>
          </rPr>
          <t xml:space="preserve">
enonce</t>
        </r>
      </text>
    </comment>
    <comment ref="E8" authorId="1" shapeId="0">
      <text>
        <r>
          <rPr>
            <b/>
            <sz val="9"/>
            <color indexed="81"/>
            <rFont val="Tahoma"/>
            <family val="2"/>
          </rPr>
          <t>BILLON-LANFRAY Christine:</t>
        </r>
        <r>
          <rPr>
            <sz val="9"/>
            <color indexed="81"/>
            <rFont val="Tahoma"/>
            <family val="2"/>
          </rPr>
          <t xml:space="preserve">
effort tangentiel obtenu par l'éq. des Mt en B sur X (Rq : on n'utilise pas ici l'effort obtenu d'après les données motrices) !!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BILLON-LANFRAY Christine:</t>
        </r>
        <r>
          <rPr>
            <sz val="9"/>
            <color indexed="81"/>
            <rFont val="Tahoma"/>
            <family val="2"/>
          </rPr>
          <t xml:space="preserve">
enonce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</rPr>
          <t>BILLON-LANFRAY Christine:</t>
        </r>
        <r>
          <rPr>
            <sz val="9"/>
            <color indexed="81"/>
            <rFont val="Tahoma"/>
            <family val="2"/>
          </rPr>
          <t xml:space="preserve">
enonce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durée de vie demandée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en tête de bielle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pmichaud:</t>
        </r>
        <r>
          <rPr>
            <sz val="9"/>
            <color indexed="81"/>
            <rFont val="Tahoma"/>
            <family val="2"/>
          </rPr>
          <t xml:space="preserve">
=XA +Fi2 -Fi1 </t>
        </r>
      </text>
    </comment>
    <comment ref="B16" authorId="1" shapeId="0">
      <text>
        <r>
          <rPr>
            <b/>
            <sz val="9"/>
            <color indexed="81"/>
            <rFont val="Tahoma"/>
            <charset val="1"/>
          </rPr>
          <t>BILLON-LANFRAY Christine:</t>
        </r>
        <r>
          <rPr>
            <sz val="9"/>
            <color indexed="81"/>
            <rFont val="Tahoma"/>
            <charset val="1"/>
          </rPr>
          <t xml:space="preserve">
Fa=T*tan</t>
        </r>
        <r>
          <rPr>
            <sz val="9"/>
            <color indexed="81"/>
            <rFont val="Times New Roman"/>
            <family val="1"/>
          </rPr>
          <t>β ET  non /tanβ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 xml:space="preserve">Palier  55: vilebrequin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de pivot qui atteindront la durée de vie voulue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</rPr>
          <t xml:space="preserve">sur roue  20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<sst xmlns="http://schemas.openxmlformats.org/spreadsheetml/2006/main" count="63" uniqueCount="57">
  <si>
    <t>fréquence  moteur</t>
  </si>
  <si>
    <t xml:space="preserve">fréquence compresseur </t>
  </si>
  <si>
    <t>diam piston 1</t>
  </si>
  <si>
    <t>diam piston  2</t>
  </si>
  <si>
    <t>pression sortie</t>
  </si>
  <si>
    <t>pression inter</t>
  </si>
  <si>
    <t>effort bielle  2</t>
  </si>
  <si>
    <t>effort bielle 1</t>
  </si>
  <si>
    <t xml:space="preserve">Paliers  </t>
  </si>
  <si>
    <t xml:space="preserve">diam </t>
  </si>
  <si>
    <t xml:space="preserve">long </t>
  </si>
  <si>
    <t xml:space="preserve">effort </t>
  </si>
  <si>
    <t xml:space="preserve">Padm </t>
  </si>
  <si>
    <t xml:space="preserve">pression </t>
  </si>
  <si>
    <t>PV adm</t>
  </si>
  <si>
    <t xml:space="preserve">P. V adm </t>
  </si>
  <si>
    <t xml:space="preserve">Palier  56  : piston </t>
  </si>
  <si>
    <t xml:space="preserve">Palier  55 : vilebrequin </t>
  </si>
  <si>
    <t>F axial</t>
  </si>
  <si>
    <t>F radial</t>
  </si>
  <si>
    <t>Ftangentielle</t>
  </si>
  <si>
    <t xml:space="preserve">roue entrée </t>
  </si>
  <si>
    <t xml:space="preserve">couple entrée </t>
  </si>
  <si>
    <t xml:space="preserve">puissance  moteur </t>
  </si>
  <si>
    <t>Diamètre  primitif</t>
  </si>
  <si>
    <t xml:space="preserve">angle pression </t>
  </si>
  <si>
    <t>angle beta</t>
  </si>
  <si>
    <t xml:space="preserve">Point A </t>
  </si>
  <si>
    <t>pointB</t>
  </si>
  <si>
    <t>point C</t>
  </si>
  <si>
    <t>point D</t>
  </si>
  <si>
    <t>Point E</t>
  </si>
  <si>
    <t>Y</t>
  </si>
  <si>
    <t>RX</t>
  </si>
  <si>
    <t>RY</t>
  </si>
  <si>
    <t>RZ</t>
  </si>
  <si>
    <t>coord X</t>
  </si>
  <si>
    <t>coord Y</t>
  </si>
  <si>
    <t>coord Z</t>
  </si>
  <si>
    <t xml:space="preserve">FR </t>
  </si>
  <si>
    <t xml:space="preserve">F i </t>
  </si>
  <si>
    <t xml:space="preserve">Statique  et roulements 74 </t>
  </si>
  <si>
    <t>e</t>
  </si>
  <si>
    <t>x</t>
  </si>
  <si>
    <t>C</t>
  </si>
  <si>
    <t xml:space="preserve">roulement 74 </t>
  </si>
  <si>
    <t>FA/FR</t>
  </si>
  <si>
    <t>P</t>
  </si>
  <si>
    <t>L</t>
  </si>
  <si>
    <t>Lh</t>
  </si>
  <si>
    <t xml:space="preserve">Excentration vilebrequin </t>
  </si>
  <si>
    <t>somme forces</t>
  </si>
  <si>
    <t xml:space="preserve">pourcentage </t>
  </si>
  <si>
    <t xml:space="preserve">Lh </t>
  </si>
  <si>
    <t>Long bielle</t>
  </si>
  <si>
    <t xml:space="preserve">angle oscillation </t>
  </si>
  <si>
    <t xml:space="preserve">fréquence équivalente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</si>
</sst>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&quot;rd/s&quot;;[Red]\-#,##0.0&quot;rd/s&quot;"/>
    <numFmt numFmtId="165" formatCode="#,##0.0&quot;tr/min&quot;;[Red]\-#,##0&quot;tr/min&quot;"/>
    <numFmt numFmtId="166" formatCode="#,##0&quot;W&quot;;[Red]\-#,##0&quot;W&quot;"/>
    <numFmt numFmtId="167" formatCode="#,##0.0&quot;N.m&quot;;[Red]\-#,##0&quot;N.m&quot;"/>
    <numFmt numFmtId="168" formatCode="#,##0.0&quot;N&quot;;[Red]\-#,##0&quot;N&quot;"/>
    <numFmt numFmtId="169" formatCode="#,##0.00&quot;rd&quot;;[Red]\-#,##0.00&quot;rd&quot;"/>
    <numFmt numFmtId="170" formatCode="#,##0.00&quot;°&quot;;[Red]\-#,##0.00&quot;°&quot;"/>
    <numFmt numFmtId="171" formatCode="0.0"/>
    <numFmt numFmtId="172" formatCode="#,##0.0&quot;Mtr&quot;;[Red]\-#,##0&quot;Mtr&quot;"/>
    <numFmt numFmtId="173" formatCode="#,##0.00&quot; H&quot;;[Red]\-#,##0.00&quot; H&quot;"/>
    <numFmt numFmtId="174" formatCode="#,##0.0&quot;Mpa&quot;;[Red]\-#,##0&quot;Mpa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1" fillId="3" borderId="6" xfId="0" applyNumberFormat="1" applyFont="1" applyFill="1" applyBorder="1" applyAlignment="1">
      <alignment wrapText="1"/>
    </xf>
    <xf numFmtId="2" fontId="1" fillId="3" borderId="5" xfId="0" applyNumberFormat="1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7" borderId="4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8" borderId="4" xfId="0" applyFont="1" applyFill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65" fontId="1" fillId="2" borderId="6" xfId="0" applyNumberFormat="1" applyFont="1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166" fontId="1" fillId="0" borderId="16" xfId="0" applyNumberFormat="1" applyFont="1" applyBorder="1" applyAlignment="1">
      <alignment wrapText="1"/>
    </xf>
    <xf numFmtId="164" fontId="1" fillId="3" borderId="0" xfId="0" applyNumberFormat="1" applyFont="1" applyFill="1" applyAlignment="1">
      <alignment wrapText="1"/>
    </xf>
    <xf numFmtId="167" fontId="1" fillId="3" borderId="6" xfId="0" applyNumberFormat="1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168" fontId="1" fillId="3" borderId="6" xfId="0" applyNumberFormat="1" applyFont="1" applyFill="1" applyBorder="1" applyAlignment="1">
      <alignment wrapText="1"/>
    </xf>
    <xf numFmtId="169" fontId="1" fillId="3" borderId="0" xfId="0" applyNumberFormat="1" applyFont="1" applyFill="1" applyAlignment="1">
      <alignment wrapText="1"/>
    </xf>
    <xf numFmtId="170" fontId="1" fillId="2" borderId="6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171" fontId="1" fillId="0" borderId="20" xfId="0" applyNumberFormat="1" applyFont="1" applyBorder="1" applyAlignment="1">
      <alignment wrapText="1"/>
    </xf>
    <xf numFmtId="171" fontId="1" fillId="0" borderId="5" xfId="0" applyNumberFormat="1" applyFont="1" applyBorder="1" applyAlignment="1">
      <alignment wrapText="1"/>
    </xf>
    <xf numFmtId="171" fontId="1" fillId="0" borderId="6" xfId="0" applyNumberFormat="1" applyFont="1" applyBorder="1" applyAlignment="1">
      <alignment wrapText="1"/>
    </xf>
    <xf numFmtId="171" fontId="1" fillId="3" borderId="4" xfId="0" applyNumberFormat="1" applyFont="1" applyFill="1" applyBorder="1" applyAlignment="1">
      <alignment wrapText="1"/>
    </xf>
    <xf numFmtId="171" fontId="1" fillId="3" borderId="5" xfId="0" applyNumberFormat="1" applyFont="1" applyFill="1" applyBorder="1" applyAlignment="1">
      <alignment wrapText="1"/>
    </xf>
    <xf numFmtId="0" fontId="1" fillId="5" borderId="18" xfId="0" applyFont="1" applyFill="1" applyBorder="1" applyAlignment="1">
      <alignment wrapText="1"/>
    </xf>
    <xf numFmtId="0" fontId="1" fillId="5" borderId="19" xfId="0" applyFont="1" applyFill="1" applyBorder="1" applyAlignment="1">
      <alignment wrapText="1"/>
    </xf>
    <xf numFmtId="169" fontId="1" fillId="5" borderId="4" xfId="0" applyNumberFormat="1" applyFont="1" applyFill="1" applyBorder="1" applyAlignment="1">
      <alignment wrapText="1"/>
    </xf>
    <xf numFmtId="164" fontId="1" fillId="5" borderId="10" xfId="0" applyNumberFormat="1" applyFont="1" applyFill="1" applyBorder="1" applyAlignment="1">
      <alignment wrapText="1"/>
    </xf>
    <xf numFmtId="164" fontId="1" fillId="5" borderId="12" xfId="0" applyNumberFormat="1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171" fontId="1" fillId="3" borderId="2" xfId="0" applyNumberFormat="1" applyFont="1" applyFill="1" applyBorder="1" applyAlignment="1">
      <alignment wrapText="1"/>
    </xf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 applyAlignment="1">
      <alignment wrapText="1"/>
    </xf>
    <xf numFmtId="171" fontId="1" fillId="3" borderId="1" xfId="0" applyNumberFormat="1" applyFont="1" applyFill="1" applyBorder="1" applyAlignment="1">
      <alignment wrapText="1"/>
    </xf>
    <xf numFmtId="171" fontId="1" fillId="0" borderId="8" xfId="0" applyNumberFormat="1" applyFont="1" applyBorder="1" applyAlignment="1">
      <alignment wrapText="1"/>
    </xf>
    <xf numFmtId="172" fontId="1" fillId="3" borderId="5" xfId="0" applyNumberFormat="1" applyFont="1" applyFill="1" applyBorder="1" applyAlignment="1">
      <alignment wrapText="1"/>
    </xf>
    <xf numFmtId="172" fontId="1" fillId="3" borderId="6" xfId="0" applyNumberFormat="1" applyFont="1" applyFill="1" applyBorder="1" applyAlignment="1">
      <alignment wrapText="1"/>
    </xf>
    <xf numFmtId="0" fontId="1" fillId="5" borderId="22" xfId="0" applyFont="1" applyFill="1" applyBorder="1" applyAlignment="1">
      <alignment wrapText="1"/>
    </xf>
    <xf numFmtId="0" fontId="1" fillId="2" borderId="21" xfId="0" applyNumberFormat="1" applyFont="1" applyFill="1" applyBorder="1" applyAlignment="1">
      <alignment wrapText="1"/>
    </xf>
    <xf numFmtId="0" fontId="1" fillId="2" borderId="23" xfId="0" applyNumberFormat="1" applyFont="1" applyFill="1" applyBorder="1" applyAlignment="1">
      <alignment wrapText="1"/>
    </xf>
    <xf numFmtId="0" fontId="1" fillId="2" borderId="22" xfId="0" applyNumberFormat="1" applyFont="1" applyFill="1" applyBorder="1" applyAlignment="1">
      <alignment wrapText="1"/>
    </xf>
    <xf numFmtId="171" fontId="1" fillId="3" borderId="21" xfId="0" applyNumberFormat="1" applyFont="1" applyFill="1" applyBorder="1" applyAlignment="1">
      <alignment wrapText="1"/>
    </xf>
    <xf numFmtId="171" fontId="1" fillId="3" borderId="23" xfId="0" applyNumberFormat="1" applyFont="1" applyFill="1" applyBorder="1" applyAlignment="1">
      <alignment wrapText="1"/>
    </xf>
    <xf numFmtId="0" fontId="1" fillId="0" borderId="23" xfId="0" applyFont="1" applyBorder="1" applyAlignment="1">
      <alignment wrapText="1"/>
    </xf>
    <xf numFmtId="10" fontId="1" fillId="3" borderId="5" xfId="0" applyNumberFormat="1" applyFont="1" applyFill="1" applyBorder="1" applyAlignment="1">
      <alignment wrapText="1"/>
    </xf>
    <xf numFmtId="171" fontId="1" fillId="9" borderId="7" xfId="0" applyNumberFormat="1" applyFont="1" applyFill="1" applyBorder="1" applyAlignment="1">
      <alignment wrapText="1"/>
    </xf>
    <xf numFmtId="173" fontId="1" fillId="3" borderId="5" xfId="0" applyNumberFormat="1" applyFont="1" applyFill="1" applyBorder="1" applyAlignment="1">
      <alignment wrapText="1"/>
    </xf>
    <xf numFmtId="168" fontId="1" fillId="3" borderId="5" xfId="0" applyNumberFormat="1" applyFont="1" applyFill="1" applyBorder="1" applyAlignment="1">
      <alignment wrapText="1"/>
    </xf>
    <xf numFmtId="168" fontId="1" fillId="3" borderId="20" xfId="0" applyNumberFormat="1" applyFont="1" applyFill="1" applyBorder="1" applyAlignment="1">
      <alignment wrapText="1"/>
    </xf>
    <xf numFmtId="168" fontId="1" fillId="3" borderId="8" xfId="0" applyNumberFormat="1" applyFont="1" applyFill="1" applyBorder="1" applyAlignment="1">
      <alignment wrapText="1"/>
    </xf>
    <xf numFmtId="168" fontId="1" fillId="3" borderId="24" xfId="0" applyNumberFormat="1" applyFont="1" applyFill="1" applyBorder="1" applyAlignment="1">
      <alignment wrapText="1"/>
    </xf>
    <xf numFmtId="168" fontId="1" fillId="3" borderId="25" xfId="0" applyNumberFormat="1" applyFont="1" applyFill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171" fontId="1" fillId="0" borderId="23" xfId="0" applyNumberFormat="1" applyFont="1" applyBorder="1" applyAlignment="1">
      <alignment wrapText="1"/>
    </xf>
    <xf numFmtId="171" fontId="1" fillId="0" borderId="24" xfId="0" applyNumberFormat="1" applyFont="1" applyBorder="1" applyAlignment="1">
      <alignment wrapText="1"/>
    </xf>
    <xf numFmtId="171" fontId="1" fillId="0" borderId="19" xfId="0" applyNumberFormat="1" applyFont="1" applyBorder="1" applyAlignment="1">
      <alignment wrapText="1"/>
    </xf>
    <xf numFmtId="171" fontId="1" fillId="0" borderId="26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17" xfId="0" applyFont="1" applyFill="1" applyBorder="1" applyAlignment="1">
      <alignment horizontal="center" wrapText="1"/>
    </xf>
    <xf numFmtId="0" fontId="1" fillId="5" borderId="2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6" borderId="12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71" fontId="1" fillId="0" borderId="0" xfId="0" applyNumberFormat="1" applyFont="1" applyFill="1" applyBorder="1" applyAlignment="1">
      <alignment horizontal="center" wrapText="1"/>
    </xf>
    <xf numFmtId="171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74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tabSelected="1" zoomScaleNormal="100" workbookViewId="0">
      <selection activeCell="D25" sqref="D25"/>
    </sheetView>
  </sheetViews>
  <sheetFormatPr baseColWidth="10" defaultRowHeight="15.6" x14ac:dyDescent="0.3"/>
  <cols>
    <col min="1" max="1" width="18.6640625" style="1" customWidth="1"/>
    <col min="2" max="2" width="14.44140625" style="1" customWidth="1"/>
    <col min="3" max="3" width="12.88671875" style="1" customWidth="1"/>
    <col min="4" max="4" width="12.88671875" style="27" customWidth="1"/>
    <col min="5" max="5" width="16.33203125" style="27" customWidth="1"/>
    <col min="6" max="9" width="20.33203125" style="27" customWidth="1"/>
    <col min="10" max="12" width="11.5546875" style="1"/>
    <col min="13" max="13" width="2.6640625" style="1" customWidth="1"/>
    <col min="14" max="14" width="16.109375" style="1" customWidth="1"/>
    <col min="15" max="16" width="13.88671875" style="1" bestFit="1" customWidth="1"/>
    <col min="17" max="20" width="11.5546875" style="1"/>
    <col min="21" max="21" width="11.5546875" style="19"/>
  </cols>
  <sheetData>
    <row r="1" spans="1:16" ht="31.95" customHeight="1" x14ac:dyDescent="0.3">
      <c r="A1" s="20"/>
      <c r="B1" s="8"/>
      <c r="E1" s="86" t="s">
        <v>41</v>
      </c>
      <c r="F1" s="87"/>
      <c r="G1" s="87"/>
      <c r="H1" s="87"/>
      <c r="I1" s="93"/>
      <c r="J1" s="95" t="s">
        <v>45</v>
      </c>
      <c r="K1" s="96"/>
      <c r="L1" s="97"/>
      <c r="N1" s="88" t="s">
        <v>8</v>
      </c>
      <c r="O1" s="89"/>
      <c r="P1" s="90"/>
    </row>
    <row r="2" spans="1:16" ht="31.2" thickBot="1" x14ac:dyDescent="0.35">
      <c r="A2" s="30" t="s">
        <v>23</v>
      </c>
      <c r="B2" s="31">
        <v>5000</v>
      </c>
      <c r="C2" s="27"/>
      <c r="E2" s="48" t="s">
        <v>27</v>
      </c>
      <c r="F2" s="49" t="s">
        <v>28</v>
      </c>
      <c r="G2" s="49" t="s">
        <v>29</v>
      </c>
      <c r="H2" s="49" t="s">
        <v>30</v>
      </c>
      <c r="I2" s="63" t="s">
        <v>31</v>
      </c>
      <c r="J2" s="17"/>
      <c r="K2" s="9"/>
      <c r="L2" s="3"/>
      <c r="N2" s="16" t="s">
        <v>11</v>
      </c>
      <c r="O2" s="4">
        <v>3500</v>
      </c>
      <c r="P2" s="3"/>
    </row>
    <row r="3" spans="1:16" ht="30.6" x14ac:dyDescent="0.3">
      <c r="A3" s="21" t="s">
        <v>0</v>
      </c>
      <c r="B3" s="28">
        <v>1500</v>
      </c>
      <c r="C3" s="32">
        <f>B3*2*PI()/60</f>
        <v>157.07963267948966</v>
      </c>
      <c r="D3" s="51" t="s">
        <v>36</v>
      </c>
      <c r="E3" s="54">
        <v>-110</v>
      </c>
      <c r="F3" s="41">
        <v>0</v>
      </c>
      <c r="G3" s="41">
        <v>95</v>
      </c>
      <c r="H3" s="41">
        <v>210</v>
      </c>
      <c r="I3" s="64">
        <v>305</v>
      </c>
      <c r="J3" s="94" t="s">
        <v>51</v>
      </c>
      <c r="K3" s="9" t="s">
        <v>42</v>
      </c>
      <c r="L3" s="22">
        <v>1.1399999999999999</v>
      </c>
      <c r="N3" s="98" t="s">
        <v>16</v>
      </c>
      <c r="O3" s="99"/>
      <c r="P3" s="100"/>
    </row>
    <row r="4" spans="1:16" ht="30.6" x14ac:dyDescent="0.3">
      <c r="A4" s="21" t="s">
        <v>1</v>
      </c>
      <c r="B4" s="28">
        <v>500</v>
      </c>
      <c r="C4" s="32">
        <f>B4*2*PI()/60</f>
        <v>52.359877559829883</v>
      </c>
      <c r="D4" s="52" t="s">
        <v>37</v>
      </c>
      <c r="E4" s="55">
        <v>-154</v>
      </c>
      <c r="F4" s="42">
        <v>0</v>
      </c>
      <c r="G4" s="42">
        <v>0</v>
      </c>
      <c r="H4" s="42">
        <v>0</v>
      </c>
      <c r="I4" s="65">
        <v>0</v>
      </c>
      <c r="J4" s="94"/>
      <c r="K4" s="9" t="s">
        <v>43</v>
      </c>
      <c r="L4" s="22">
        <v>0.35</v>
      </c>
      <c r="N4" s="12" t="s">
        <v>9</v>
      </c>
      <c r="O4" s="2">
        <v>20</v>
      </c>
      <c r="P4" s="3"/>
    </row>
    <row r="5" spans="1:16" ht="16.2" thickBot="1" x14ac:dyDescent="0.35">
      <c r="A5" s="21" t="s">
        <v>2</v>
      </c>
      <c r="B5" s="22">
        <v>116</v>
      </c>
      <c r="D5" s="53" t="s">
        <v>38</v>
      </c>
      <c r="E5" s="57">
        <v>0</v>
      </c>
      <c r="F5" s="58">
        <v>0</v>
      </c>
      <c r="G5" s="58">
        <v>52</v>
      </c>
      <c r="H5" s="58">
        <v>-52</v>
      </c>
      <c r="I5" s="66">
        <v>0</v>
      </c>
      <c r="J5" s="94"/>
      <c r="K5" s="9" t="s">
        <v>32</v>
      </c>
      <c r="L5" s="22">
        <v>0.56999999999999995</v>
      </c>
      <c r="N5" s="12" t="s">
        <v>10</v>
      </c>
      <c r="O5" s="2">
        <v>20</v>
      </c>
      <c r="P5" s="3"/>
    </row>
    <row r="6" spans="1:16" x14ac:dyDescent="0.3">
      <c r="A6" s="21" t="s">
        <v>3</v>
      </c>
      <c r="B6" s="22">
        <v>68</v>
      </c>
      <c r="D6" s="53" t="s">
        <v>33</v>
      </c>
      <c r="E6" s="59">
        <f>E8*TAN(C14)</f>
        <v>482.7378344031751</v>
      </c>
      <c r="F6" s="56">
        <f>F11</f>
        <v>3184.4557322671462</v>
      </c>
      <c r="G6" s="56">
        <v>0</v>
      </c>
      <c r="H6" s="56">
        <v>0</v>
      </c>
      <c r="I6" s="67">
        <f>-E6-F6</f>
        <v>-3667.1935666703212</v>
      </c>
      <c r="J6" s="46">
        <f>SUM(E6:I6)</f>
        <v>0</v>
      </c>
      <c r="K6" s="9" t="s">
        <v>44</v>
      </c>
      <c r="L6" s="22">
        <v>22500</v>
      </c>
      <c r="N6" s="12" t="s">
        <v>12</v>
      </c>
      <c r="O6" s="2">
        <v>45</v>
      </c>
      <c r="P6" s="3"/>
    </row>
    <row r="7" spans="1:16" x14ac:dyDescent="0.3">
      <c r="A7" s="21" t="s">
        <v>4</v>
      </c>
      <c r="B7" s="22">
        <v>10</v>
      </c>
      <c r="D7" s="53" t="s">
        <v>34</v>
      </c>
      <c r="E7" s="46">
        <f>E8*TAN(C13)/COS(C14)</f>
        <v>568.58427165883836</v>
      </c>
      <c r="F7" s="47">
        <f>-E7-G7-H7-I7</f>
        <v>2999.6037828185936</v>
      </c>
      <c r="G7" s="47">
        <v>-4900</v>
      </c>
      <c r="H7" s="47">
        <v>-500</v>
      </c>
      <c r="I7" s="68">
        <f>(-E3*E7+E4*E6-G3*G7-H3*H7)/I3</f>
        <v>1831.8119455225681</v>
      </c>
      <c r="J7" s="46">
        <f>SUM(E7:I7)</f>
        <v>0</v>
      </c>
      <c r="K7" s="9"/>
      <c r="L7" s="22"/>
      <c r="N7" s="12" t="s">
        <v>14</v>
      </c>
      <c r="O7" s="2">
        <v>1.8</v>
      </c>
      <c r="P7" s="3"/>
    </row>
    <row r="8" spans="1:16" x14ac:dyDescent="0.3">
      <c r="A8" s="21" t="s">
        <v>5</v>
      </c>
      <c r="B8" s="10">
        <f>10*B6^2/B5^2</f>
        <v>3.4363852556480379</v>
      </c>
      <c r="D8" s="53" t="s">
        <v>35</v>
      </c>
      <c r="E8" s="46">
        <f>(G5*G7+H5*H7)/E4</f>
        <v>1485.7142857142858</v>
      </c>
      <c r="F8" s="47">
        <f>-E8-G8-H8-I8</f>
        <v>-2044.8243559718971</v>
      </c>
      <c r="G8" s="47">
        <v>70</v>
      </c>
      <c r="H8" s="47">
        <v>-80</v>
      </c>
      <c r="I8" s="68">
        <f>(-E3*E8-G3*G8-H3*H8)/I3</f>
        <v>569.11007025761126</v>
      </c>
      <c r="J8" s="46">
        <f>SUM(E8:I8)</f>
        <v>0</v>
      </c>
      <c r="K8" s="9" t="s">
        <v>53</v>
      </c>
      <c r="L8" s="22">
        <v>10000</v>
      </c>
      <c r="N8" s="12" t="s">
        <v>13</v>
      </c>
      <c r="O8" s="14">
        <f>O2/O4/O5</f>
        <v>8.75</v>
      </c>
      <c r="P8" s="3"/>
    </row>
    <row r="9" spans="1:16" x14ac:dyDescent="0.3">
      <c r="A9" s="21" t="s">
        <v>7</v>
      </c>
      <c r="B9" s="10">
        <f>B8/10*PI()*B5^2/4</f>
        <v>3631.6811075498003</v>
      </c>
      <c r="D9" s="53"/>
      <c r="E9" s="17"/>
      <c r="F9" s="4"/>
      <c r="G9" s="4"/>
      <c r="H9" s="4"/>
      <c r="I9" s="69"/>
      <c r="J9" s="17"/>
      <c r="K9" s="4"/>
      <c r="L9" s="3"/>
      <c r="N9" s="12" t="s">
        <v>15</v>
      </c>
      <c r="O9" s="14">
        <f>O8*O11*O4/2000</f>
        <v>0.64580089634673077</v>
      </c>
      <c r="P9" s="3"/>
    </row>
    <row r="10" spans="1:16" ht="31.2" thickBot="1" x14ac:dyDescent="0.35">
      <c r="A10" s="21" t="s">
        <v>6</v>
      </c>
      <c r="B10" s="10">
        <f>B7/10*PI()*B6^2/4</f>
        <v>3631.6811075498008</v>
      </c>
      <c r="D10" s="53" t="s">
        <v>39</v>
      </c>
      <c r="E10" s="18"/>
      <c r="F10" s="75">
        <f>(F7^2+F8^2)^0.5</f>
        <v>3630.2795347845463</v>
      </c>
      <c r="G10" s="60"/>
      <c r="H10" s="60"/>
      <c r="I10" s="76">
        <f>(I7^2+I8^2)^0.5</f>
        <v>1918.181762979671</v>
      </c>
      <c r="J10" s="17"/>
      <c r="K10" s="4"/>
      <c r="L10" s="3"/>
      <c r="N10" s="12" t="s">
        <v>55</v>
      </c>
      <c r="O10" s="14">
        <f>2*ATAN(O14/O15)</f>
        <v>0.44283490035204393</v>
      </c>
      <c r="P10" s="15">
        <f>DEGREES(O10)</f>
        <v>25.372570811268492</v>
      </c>
    </row>
    <row r="11" spans="1:16" ht="31.2" thickBot="1" x14ac:dyDescent="0.35">
      <c r="A11" s="91" t="s">
        <v>21</v>
      </c>
      <c r="B11" s="92"/>
      <c r="D11" s="12" t="s">
        <v>40</v>
      </c>
      <c r="E11" s="43"/>
      <c r="F11" s="74">
        <f>F10/L3</f>
        <v>3184.4557322671462</v>
      </c>
      <c r="G11" s="43"/>
      <c r="H11" s="43"/>
      <c r="I11" s="77">
        <f>I10/L3</f>
        <v>1682.6155815611151</v>
      </c>
      <c r="J11" s="71">
        <f>E6+F11-I11</f>
        <v>1984.5779851092061</v>
      </c>
      <c r="K11" s="6"/>
      <c r="L11" s="7"/>
      <c r="N11" s="13" t="s">
        <v>56</v>
      </c>
      <c r="O11" s="5">
        <f>2*P10*C4/360</f>
        <v>7.3805816725340652</v>
      </c>
    </row>
    <row r="12" spans="1:16" x14ac:dyDescent="0.3">
      <c r="A12" s="34" t="s">
        <v>24</v>
      </c>
      <c r="B12" s="36">
        <v>150</v>
      </c>
      <c r="D12" s="12" t="s">
        <v>46</v>
      </c>
      <c r="E12" s="44"/>
      <c r="F12" s="44">
        <f>F6/F10</f>
        <v>0.87719298245614041</v>
      </c>
      <c r="G12" s="44"/>
      <c r="H12" s="44"/>
      <c r="I12" s="45">
        <f>ABS(I6/I11)</f>
        <v>2.1794601255670849</v>
      </c>
      <c r="N12" s="53"/>
      <c r="O12" s="84"/>
      <c r="P12" s="85"/>
    </row>
    <row r="13" spans="1:16" x14ac:dyDescent="0.3">
      <c r="A13" s="35" t="s">
        <v>25</v>
      </c>
      <c r="B13" s="40">
        <v>20</v>
      </c>
      <c r="C13" s="39">
        <f>RADIANS(B13)</f>
        <v>0.3490658503988659</v>
      </c>
      <c r="D13" s="50" t="s">
        <v>47</v>
      </c>
      <c r="E13" s="47"/>
      <c r="F13" s="73">
        <f>F10</f>
        <v>3630.2795347845463</v>
      </c>
      <c r="G13" s="47"/>
      <c r="H13" s="47"/>
      <c r="I13" s="38">
        <f>L4*I10+L5*ABS(I6)</f>
        <v>2761.6639500449678</v>
      </c>
      <c r="N13" s="101" t="s">
        <v>17</v>
      </c>
      <c r="O13" s="102"/>
      <c r="P13" s="103"/>
    </row>
    <row r="14" spans="1:16" ht="30.6" x14ac:dyDescent="0.3">
      <c r="A14" s="35" t="s">
        <v>26</v>
      </c>
      <c r="B14" s="40">
        <v>18</v>
      </c>
      <c r="C14" s="39">
        <f>RADIANS(B14)</f>
        <v>0.31415926535897931</v>
      </c>
      <c r="D14" s="50" t="s">
        <v>48</v>
      </c>
      <c r="E14" s="47"/>
      <c r="F14" s="61">
        <f>(L6/F13)^3</f>
        <v>238.08243308709686</v>
      </c>
      <c r="G14" s="47"/>
      <c r="H14" s="47"/>
      <c r="I14" s="62">
        <f>(L6/I13)^3</f>
        <v>540.79798138134663</v>
      </c>
      <c r="N14" s="24" t="s">
        <v>50</v>
      </c>
      <c r="O14" s="25">
        <v>52</v>
      </c>
      <c r="P14" s="26"/>
    </row>
    <row r="15" spans="1:16" x14ac:dyDescent="0.3">
      <c r="A15" s="35"/>
      <c r="B15" s="37"/>
      <c r="D15" s="12" t="s">
        <v>49</v>
      </c>
      <c r="E15" s="44"/>
      <c r="F15" s="72">
        <f>F14*10000/5/60</f>
        <v>7936.0811029032293</v>
      </c>
      <c r="G15" s="44"/>
      <c r="H15" s="44"/>
      <c r="I15" s="72">
        <f>I14*10000/5/60</f>
        <v>18026.599379378222</v>
      </c>
      <c r="N15" s="78" t="s">
        <v>54</v>
      </c>
      <c r="O15" s="79">
        <v>231</v>
      </c>
      <c r="P15" s="3"/>
    </row>
    <row r="16" spans="1:16" x14ac:dyDescent="0.3">
      <c r="A16" s="21" t="s">
        <v>18</v>
      </c>
      <c r="B16" s="38">
        <f>B18*TAN(C14)</f>
        <v>413.70060610707293</v>
      </c>
      <c r="D16" s="12"/>
      <c r="E16" s="44"/>
      <c r="F16" s="44"/>
      <c r="G16" s="44"/>
      <c r="H16" s="44"/>
      <c r="I16" s="45"/>
      <c r="N16" s="23" t="s">
        <v>9</v>
      </c>
      <c r="O16" s="2">
        <v>56</v>
      </c>
      <c r="P16" s="3"/>
    </row>
    <row r="17" spans="1:16" ht="30.6" x14ac:dyDescent="0.3">
      <c r="A17" s="21" t="s">
        <v>19</v>
      </c>
      <c r="B17" s="38">
        <f>B18*TAN(C13)/COS(C14)</f>
        <v>487.26998599358791</v>
      </c>
      <c r="D17" s="12" t="s">
        <v>52</v>
      </c>
      <c r="E17" s="44"/>
      <c r="F17" s="70">
        <f>EXP(LN(0.9)*(L8/F15)^1.5)</f>
        <v>0.8615447346305255</v>
      </c>
      <c r="G17" s="44"/>
      <c r="H17" s="44"/>
      <c r="I17" s="45"/>
      <c r="N17" s="23" t="s">
        <v>10</v>
      </c>
      <c r="O17" s="2">
        <v>26</v>
      </c>
      <c r="P17" s="3"/>
    </row>
    <row r="18" spans="1:16" x14ac:dyDescent="0.3">
      <c r="A18" s="21" t="s">
        <v>20</v>
      </c>
      <c r="B18" s="38">
        <f>B19*2000/B12</f>
        <v>1273.2395447351626</v>
      </c>
      <c r="D18" s="12"/>
      <c r="E18" s="44"/>
      <c r="F18" s="82"/>
      <c r="G18" s="82"/>
      <c r="H18" s="82"/>
      <c r="I18" s="83"/>
      <c r="N18" s="23" t="s">
        <v>12</v>
      </c>
      <c r="O18" s="2">
        <v>18</v>
      </c>
      <c r="P18" s="3"/>
    </row>
    <row r="19" spans="1:16" x14ac:dyDescent="0.3">
      <c r="A19" s="21" t="s">
        <v>22</v>
      </c>
      <c r="B19" s="33">
        <f>B2*3/C3</f>
        <v>95.4929658551372</v>
      </c>
      <c r="D19" s="12"/>
      <c r="E19" s="80"/>
      <c r="F19" s="104"/>
      <c r="G19" s="104"/>
      <c r="H19" s="104"/>
      <c r="I19" s="104"/>
      <c r="N19" s="23" t="s">
        <v>14</v>
      </c>
      <c r="O19" s="2">
        <v>1.8</v>
      </c>
      <c r="P19" s="3"/>
    </row>
    <row r="20" spans="1:16" ht="16.2" thickBot="1" x14ac:dyDescent="0.35">
      <c r="A20" s="29"/>
      <c r="B20" s="15"/>
      <c r="D20" s="13"/>
      <c r="E20" s="81"/>
      <c r="F20" s="105"/>
      <c r="G20" s="105"/>
      <c r="H20" s="106"/>
      <c r="I20" s="106"/>
      <c r="N20" s="23" t="s">
        <v>13</v>
      </c>
      <c r="O20" s="11">
        <f>O2/O16/O17</f>
        <v>2.4038461538461537</v>
      </c>
      <c r="P20" s="3"/>
    </row>
    <row r="21" spans="1:16" x14ac:dyDescent="0.3">
      <c r="F21" s="106"/>
      <c r="G21" s="106"/>
      <c r="H21" s="106"/>
      <c r="I21" s="106"/>
      <c r="N21" s="23" t="s">
        <v>15</v>
      </c>
      <c r="O21" s="11">
        <f>O20*(C4)*(O14+O16/2)/1000</f>
        <v>10.069207223044208</v>
      </c>
      <c r="P21" s="3"/>
    </row>
    <row r="22" spans="1:16" x14ac:dyDescent="0.3">
      <c r="F22" s="106"/>
      <c r="G22" s="107"/>
      <c r="H22" s="106"/>
      <c r="I22" s="106"/>
    </row>
    <row r="23" spans="1:16" x14ac:dyDescent="0.3">
      <c r="F23" s="106"/>
      <c r="G23" s="106"/>
      <c r="H23" s="106"/>
      <c r="I23" s="106"/>
    </row>
    <row r="24" spans="1:16" x14ac:dyDescent="0.3">
      <c r="F24" s="106"/>
      <c r="G24" s="106"/>
      <c r="H24" s="106"/>
      <c r="I24" s="107"/>
    </row>
    <row r="25" spans="1:16" x14ac:dyDescent="0.3">
      <c r="F25" s="106"/>
      <c r="G25" s="106"/>
      <c r="H25" s="106"/>
      <c r="I25" s="106"/>
    </row>
    <row r="26" spans="1:16" x14ac:dyDescent="0.3">
      <c r="F26" s="106"/>
      <c r="G26" s="106"/>
      <c r="H26" s="106"/>
      <c r="I26" s="108"/>
    </row>
    <row r="27" spans="1:16" x14ac:dyDescent="0.3">
      <c r="F27" s="106"/>
      <c r="G27" s="106"/>
      <c r="H27" s="106"/>
      <c r="I27" s="106"/>
    </row>
    <row r="28" spans="1:16" x14ac:dyDescent="0.3">
      <c r="F28" s="106"/>
      <c r="G28" s="106"/>
      <c r="H28" s="106"/>
      <c r="I28" s="106"/>
    </row>
    <row r="29" spans="1:16" x14ac:dyDescent="0.3">
      <c r="F29" s="106"/>
      <c r="G29" s="106"/>
      <c r="H29" s="106"/>
      <c r="I29" s="106"/>
    </row>
  </sheetData>
  <mergeCells count="8">
    <mergeCell ref="N1:P1"/>
    <mergeCell ref="N3:P3"/>
    <mergeCell ref="N13:P13"/>
    <mergeCell ref="A11:B11"/>
    <mergeCell ref="E1:I1"/>
    <mergeCell ref="J3:J5"/>
    <mergeCell ref="F19:I19"/>
    <mergeCell ref="J1:L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 1_janvier 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Michaud</dc:creator>
  <cp:lastModifiedBy>charel</cp:lastModifiedBy>
  <cp:lastPrinted>2014-02-03T09:14:43Z</cp:lastPrinted>
  <dcterms:created xsi:type="dcterms:W3CDTF">2012-04-21T12:52:46Z</dcterms:created>
  <dcterms:modified xsi:type="dcterms:W3CDTF">2018-01-17T10:15:41Z</dcterms:modified>
</cp:coreProperties>
</file>