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briancon\Documents\enseignement\23-24\ISS-1\TD 5 - Ecran\"/>
    </mc:Choice>
  </mc:AlternateContent>
  <xr:revisionPtr revIDLastSave="0" documentId="8_{F0F5A9E3-CCDB-4335-8D6B-0C126DB638EB}" xr6:coauthVersionLast="47" xr6:coauthVersionMax="47" xr10:uidLastSave="{00000000-0000-0000-0000-000000000000}"/>
  <bookViews>
    <workbookView xWindow="-108" yWindow="-108" windowWidth="23256" windowHeight="12456" xr2:uid="{0CCEFAF5-56B9-F14F-A672-6EB79C1DD91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1" l="1"/>
  <c r="F76" i="1"/>
  <c r="F75" i="1"/>
  <c r="F74" i="1"/>
  <c r="C76" i="1"/>
  <c r="C75" i="1"/>
  <c r="C74" i="1"/>
  <c r="C71" i="1"/>
  <c r="C70" i="1"/>
  <c r="C68" i="1"/>
  <c r="C67" i="1"/>
  <c r="C66" i="1"/>
  <c r="C65" i="1"/>
  <c r="F71" i="1"/>
  <c r="F70" i="1"/>
  <c r="C50" i="1"/>
  <c r="C49" i="1"/>
  <c r="C45" i="1"/>
  <c r="C47" i="1"/>
  <c r="C46" i="1"/>
  <c r="C44" i="1"/>
  <c r="C92" i="1"/>
  <c r="C89" i="1"/>
  <c r="E88" i="1"/>
  <c r="C88" i="1"/>
  <c r="E87" i="1"/>
  <c r="E86" i="1"/>
  <c r="C87" i="1"/>
  <c r="F50" i="1"/>
  <c r="F49" i="1"/>
  <c r="F47" i="1"/>
  <c r="F46" i="1"/>
  <c r="F45" i="1"/>
  <c r="F44" i="1"/>
  <c r="F68" i="1"/>
  <c r="F67" i="1"/>
  <c r="F66" i="1"/>
  <c r="F65" i="1"/>
  <c r="C52" i="1"/>
  <c r="D6" i="1"/>
  <c r="C73" i="1" l="1"/>
  <c r="C79" i="1"/>
  <c r="D8" i="1"/>
  <c r="C14" i="1" s="1"/>
  <c r="D7" i="1"/>
  <c r="C17" i="1" s="1"/>
  <c r="D5" i="1"/>
  <c r="C53" i="1" l="1"/>
  <c r="F53" i="1"/>
  <c r="C20" i="1"/>
  <c r="C22" i="1"/>
  <c r="B18" i="1"/>
  <c r="F55" i="1" l="1"/>
  <c r="C54" i="1"/>
  <c r="C55" i="1"/>
  <c r="F54" i="1"/>
  <c r="E42" i="1"/>
  <c r="C35" i="1" l="1"/>
  <c r="C11" i="1" l="1"/>
  <c r="C12" i="1"/>
  <c r="C24" i="1" s="1"/>
  <c r="B26" i="1" s="1"/>
  <c r="C40" i="1"/>
  <c r="C39" i="1"/>
  <c r="C86" i="1" l="1"/>
  <c r="C85" i="1"/>
  <c r="F63" i="1" l="1"/>
  <c r="C80" i="1"/>
</calcChain>
</file>

<file path=xl/sharedStrings.xml><?xml version="1.0" encoding="utf-8"?>
<sst xmlns="http://schemas.openxmlformats.org/spreadsheetml/2006/main" count="108" uniqueCount="76">
  <si>
    <t>z1</t>
  </si>
  <si>
    <t>z2</t>
  </si>
  <si>
    <t>z3</t>
  </si>
  <si>
    <t>z4</t>
  </si>
  <si>
    <t>B</t>
  </si>
  <si>
    <t>Kaq</t>
  </si>
  <si>
    <t>phi</t>
  </si>
  <si>
    <t>d</t>
  </si>
  <si>
    <r>
      <t>d.tan</t>
    </r>
    <r>
      <rPr>
        <sz val="11"/>
        <color theme="1"/>
        <rFont val="Symbol"/>
        <family val="1"/>
        <charset val="2"/>
      </rPr>
      <t></t>
    </r>
    <r>
      <rPr>
        <sz val="11"/>
        <color theme="1"/>
        <rFont val="Georgia"/>
        <family val="1"/>
      </rPr>
      <t xml:space="preserve"> </t>
    </r>
  </si>
  <si>
    <r>
      <t>d.tan(</t>
    </r>
    <r>
      <rPr>
        <sz val="11"/>
        <color theme="1"/>
        <rFont val="Symbol"/>
        <family val="1"/>
        <charset val="2"/>
      </rPr>
      <t></t>
    </r>
    <r>
      <rPr>
        <sz val="11"/>
        <color theme="1"/>
        <rFont val="Georgia"/>
        <family val="1"/>
      </rPr>
      <t>/4+</t>
    </r>
    <r>
      <rPr>
        <sz val="11"/>
        <color theme="1"/>
        <rFont val="Symbol"/>
        <family val="1"/>
        <charset val="2"/>
      </rPr>
      <t></t>
    </r>
    <r>
      <rPr>
        <sz val="11"/>
        <color theme="1"/>
        <rFont val="Georgia"/>
        <family val="1"/>
      </rPr>
      <t xml:space="preserve"> </t>
    </r>
  </si>
  <si>
    <r>
      <t>(d+B).tan</t>
    </r>
    <r>
      <rPr>
        <sz val="11"/>
        <color theme="1"/>
        <rFont val="Symbol"/>
        <family val="1"/>
        <charset val="2"/>
      </rPr>
      <t></t>
    </r>
    <r>
      <rPr>
        <sz val="11"/>
        <color theme="1"/>
        <rFont val="Georgia"/>
        <family val="1"/>
      </rPr>
      <t xml:space="preserve"> </t>
    </r>
  </si>
  <si>
    <r>
      <t>(d+B).tan(</t>
    </r>
    <r>
      <rPr>
        <sz val="11"/>
        <color theme="1"/>
        <rFont val="Symbol"/>
        <family val="1"/>
        <charset val="2"/>
      </rPr>
      <t></t>
    </r>
    <r>
      <rPr>
        <sz val="11"/>
        <color theme="1"/>
        <rFont val="Georgia"/>
        <family val="1"/>
      </rPr>
      <t>/4+</t>
    </r>
    <r>
      <rPr>
        <sz val="11"/>
        <color theme="1"/>
        <rFont val="Symbol"/>
        <family val="1"/>
        <charset val="2"/>
      </rPr>
      <t></t>
    </r>
    <r>
      <rPr>
        <sz val="11"/>
        <color theme="1"/>
        <rFont val="Georgia"/>
        <family val="1"/>
      </rPr>
      <t xml:space="preserve"> </t>
    </r>
  </si>
  <si>
    <t>z2 &gt;z3</t>
  </si>
  <si>
    <t>z'3</t>
  </si>
  <si>
    <t>si répartiton trapézoidale</t>
  </si>
  <si>
    <t>si répartiton triangulaire</t>
  </si>
  <si>
    <r>
      <rPr>
        <sz val="12"/>
        <color theme="1"/>
        <rFont val="Symbol"/>
        <family val="1"/>
        <charset val="2"/>
      </rPr>
      <t>s_</t>
    </r>
    <r>
      <rPr>
        <sz val="12"/>
        <color theme="1"/>
        <rFont val="Calibri"/>
        <family val="2"/>
        <scheme val="minor"/>
      </rPr>
      <t>max</t>
    </r>
  </si>
  <si>
    <t>q</t>
  </si>
  <si>
    <t>Kaq . q</t>
  </si>
  <si>
    <t>h'</t>
  </si>
  <si>
    <t xml:space="preserve">H </t>
  </si>
  <si>
    <r>
      <rPr>
        <sz val="12"/>
        <color theme="1"/>
        <rFont val="Symbol"/>
        <family val="1"/>
        <charset val="2"/>
      </rPr>
      <t>g</t>
    </r>
    <r>
      <rPr>
        <sz val="12"/>
        <color theme="1"/>
        <rFont val="Calibri"/>
        <family val="2"/>
        <scheme val="minor"/>
      </rPr>
      <t>sat</t>
    </r>
  </si>
  <si>
    <t>c'</t>
  </si>
  <si>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>a</t>
    </r>
  </si>
  <si>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charset val="2"/>
        <scheme val="minor"/>
      </rPr>
      <t>p</t>
    </r>
  </si>
  <si>
    <t>Action du sol sec</t>
  </si>
  <si>
    <t>Pa1</t>
  </si>
  <si>
    <t>Ka</t>
  </si>
  <si>
    <t>Pa2</t>
  </si>
  <si>
    <t>f'</t>
  </si>
  <si>
    <t>Apres calcul des moments</t>
  </si>
  <si>
    <t>Pa3</t>
  </si>
  <si>
    <t>Kp</t>
  </si>
  <si>
    <t>Pb</t>
  </si>
  <si>
    <r>
      <rPr>
        <sz val="12"/>
        <color theme="1"/>
        <rFont val="Symbol"/>
        <family val="1"/>
        <charset val="2"/>
      </rPr>
      <t>g</t>
    </r>
    <r>
      <rPr>
        <sz val="12"/>
        <color theme="1"/>
        <rFont val="Calibri"/>
        <family val="2"/>
        <charset val="2"/>
        <scheme val="minor"/>
      </rPr>
      <t>w</t>
    </r>
  </si>
  <si>
    <t>Action de l'eau</t>
  </si>
  <si>
    <t>Pw1</t>
  </si>
  <si>
    <t>Pw2</t>
  </si>
  <si>
    <t>Action de la surcharge</t>
  </si>
  <si>
    <r>
      <t>KaQ = Kacos</t>
    </r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charset val="2"/>
        <scheme val="minor"/>
      </rPr>
      <t>*1,1</t>
    </r>
  </si>
  <si>
    <t>Paq1</t>
  </si>
  <si>
    <t>Paq2</t>
  </si>
  <si>
    <t>Paq3</t>
  </si>
  <si>
    <t>Contre-butée</t>
  </si>
  <si>
    <r>
      <rPr>
        <sz val="12"/>
        <color theme="1"/>
        <rFont val="Symbol"/>
        <family val="1"/>
        <charset val="2"/>
      </rPr>
      <t>S</t>
    </r>
    <r>
      <rPr>
        <sz val="12"/>
        <color theme="1"/>
        <rFont val="Calibri"/>
        <family val="2"/>
        <scheme val="minor"/>
      </rPr>
      <t xml:space="preserve"> force vers gauche</t>
    </r>
  </si>
  <si>
    <r>
      <rPr>
        <sz val="12"/>
        <color theme="1"/>
        <rFont val="Symbol"/>
        <family val="1"/>
        <charset val="2"/>
      </rPr>
      <t>S</t>
    </r>
    <r>
      <rPr>
        <sz val="12"/>
        <color theme="1"/>
        <rFont val="Calibri"/>
        <family val="2"/>
        <scheme val="minor"/>
      </rPr>
      <t xml:space="preserve"> force vers droite</t>
    </r>
  </si>
  <si>
    <t xml:space="preserve">dA1 = </t>
  </si>
  <si>
    <t xml:space="preserve">dA2 = </t>
  </si>
  <si>
    <t xml:space="preserve">dA3 = </t>
  </si>
  <si>
    <t xml:space="preserve">dB = </t>
  </si>
  <si>
    <t xml:space="preserve">dpw1 = </t>
  </si>
  <si>
    <t xml:space="preserve">dpw2 = </t>
  </si>
  <si>
    <t xml:space="preserve">daq1 = </t>
  </si>
  <si>
    <t xml:space="preserve">daq2 = </t>
  </si>
  <si>
    <t xml:space="preserve">daq3 = </t>
  </si>
  <si>
    <r>
      <rPr>
        <sz val="12"/>
        <color theme="1"/>
        <rFont val="Symbol"/>
        <family val="1"/>
        <charset val="2"/>
      </rPr>
      <t>S</t>
    </r>
    <r>
      <rPr>
        <sz val="12"/>
        <color theme="1"/>
        <rFont val="Calibri"/>
        <family val="2"/>
        <scheme val="minor"/>
      </rPr>
      <t xml:space="preserve"> Moment = </t>
    </r>
  </si>
  <si>
    <r>
      <rPr>
        <sz val="12"/>
        <color theme="1"/>
        <rFont val="Symbol"/>
        <family val="1"/>
        <charset val="2"/>
      </rPr>
      <t>s</t>
    </r>
    <r>
      <rPr>
        <sz val="12"/>
        <color theme="1"/>
        <rFont val="Calibri"/>
        <family val="2"/>
        <scheme val="minor"/>
      </rPr>
      <t>B</t>
    </r>
  </si>
  <si>
    <r>
      <rPr>
        <sz val="12"/>
        <color theme="1"/>
        <rFont val="Symbol"/>
        <family val="1"/>
        <charset val="2"/>
      </rPr>
      <t>s</t>
    </r>
    <r>
      <rPr>
        <sz val="12"/>
        <color theme="1"/>
        <rFont val="Calibri"/>
        <family val="2"/>
        <charset val="2"/>
        <scheme val="minor"/>
      </rPr>
      <t>z'3</t>
    </r>
  </si>
  <si>
    <r>
      <rPr>
        <sz val="12"/>
        <color theme="1"/>
        <rFont val="Symbol"/>
        <family val="1"/>
        <charset val="2"/>
      </rPr>
      <t>s</t>
    </r>
    <r>
      <rPr>
        <sz val="12"/>
        <color theme="1"/>
        <rFont val="Calibri"/>
        <family val="2"/>
        <charset val="2"/>
        <scheme val="minor"/>
      </rPr>
      <t>z'4</t>
    </r>
    <r>
      <rPr>
        <sz val="12"/>
        <color theme="1"/>
        <rFont val="Calibri"/>
        <family val="2"/>
        <scheme val="minor"/>
      </rPr>
      <t/>
    </r>
  </si>
  <si>
    <t>z'3 retenu =</t>
  </si>
  <si>
    <r>
      <t>Kah = Kacos</t>
    </r>
    <r>
      <rPr>
        <sz val="12"/>
        <color theme="1"/>
        <rFont val="Symbol"/>
        <family val="1"/>
        <charset val="2"/>
      </rPr>
      <t>d</t>
    </r>
  </si>
  <si>
    <r>
      <t>s_</t>
    </r>
    <r>
      <rPr>
        <sz val="12"/>
        <color theme="1"/>
        <rFont val="Calibri (Corps)"/>
      </rPr>
      <t>max &gt; Kaq Q, il faut tronquer,</t>
    </r>
    <r>
      <rPr>
        <sz val="12"/>
        <color theme="1"/>
        <rFont val="Calibri"/>
        <family val="2"/>
        <scheme val="minor"/>
      </rPr>
      <t xml:space="preserve"> s_max &gt; Kaq . Q , la repartition triangulaire"</t>
    </r>
  </si>
  <si>
    <t>si z2 &gt; z3 : répartition triangulaire (qui peut etre tronquée)</t>
  </si>
  <si>
    <t>si z2 &lt; z3 : : répartition trapézoïdale</t>
  </si>
  <si>
    <t>Estimation de la fiche qui annule les moments/o</t>
  </si>
  <si>
    <t>($C$35*COS($C$36*PI()/180)*$C$31*$C$29*$C$29/2)*(($C$30-$C$29+$C$42)+$C$29/3)+($C$35*COS($C$36*PI()/180)*$C$31*$C$29*($C$30-$C$29+$C$42)/2)*(($C$30-$C$29+$C$42)/2)+($C$35*COS($C$36*PI()/180)*($C$32-$C$33)*($C$30-$C$29+$C$42)^2/2)*(($C$30-$C$29+$C$42)/3)-($C$38*($C$32-$C$33)*$C$42^2/2)*($C$42/3)+($C$33*($C$30-$C$29+$C$42)^2/2)*(($C$30-$C$29+$C$42)/3)-($C$33*$C$42^2/2)*($C$42/3)+$C$53*(($C$42+$C$30-$C$29)+((2/3)*($D$7-$D$5)))+$C$54*(($C$42+$C$30-$C$29)+($D$7-$D$5)+(($C$14-$D$7)/2))+$C$55*(($C$42+$C$30-$C$29)+($C$14-$D$5)+((2/3)*($D$8-$C$14)))</t>
  </si>
  <si>
    <t>Formule du moment</t>
  </si>
  <si>
    <r>
      <rPr>
        <sz val="12"/>
        <color theme="1"/>
        <rFont val="Symbol"/>
        <family val="1"/>
        <charset val="2"/>
      </rPr>
      <t>Ds</t>
    </r>
    <r>
      <rPr>
        <sz val="12"/>
        <color theme="1"/>
        <rFont val="Calibri"/>
        <family val="2"/>
        <charset val="2"/>
        <scheme val="minor"/>
      </rPr>
      <t>z</t>
    </r>
  </si>
  <si>
    <r>
      <rPr>
        <sz val="12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charset val="2"/>
        <scheme val="minor"/>
      </rPr>
      <t>z</t>
    </r>
  </si>
  <si>
    <t>pente</t>
  </si>
  <si>
    <t>t0</t>
  </si>
  <si>
    <t>contrainte</t>
  </si>
  <si>
    <t>Formule à utiliser</t>
  </si>
  <si>
    <t>$C$86+$C$89*($B$92-$E$86)</t>
  </si>
  <si>
    <t>hauteur au-dessus de la nappe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</si>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</sst>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2"/>
      <color theme="1"/>
      <name val="Calibri"/>
      <family val="2"/>
      <scheme val="minor"/>
    </font>
    <font>
      <sz val="11"/>
      <color theme="1"/>
      <name val="Georgia"/>
      <family val="1"/>
    </font>
    <font>
      <sz val="11"/>
      <color theme="1"/>
      <name val="Symbol"/>
      <family val="1"/>
      <charset val="2"/>
    </font>
    <font>
      <sz val="12"/>
      <color theme="1"/>
      <name val="Symbol"/>
      <family val="1"/>
      <charset val="2"/>
    </font>
    <font>
      <sz val="12"/>
      <color theme="1"/>
      <name val="Calibri"/>
      <family val="2"/>
      <charset val="2"/>
      <scheme val="minor"/>
    </font>
    <font>
      <sz val="8"/>
      <name val="Calibri"/>
      <family val="2"/>
      <scheme val="minor"/>
    </font>
    <font>
      <sz val="12"/>
      <color theme="1"/>
      <name val="Calibri"/>
      <family val="1"/>
      <charset val="2"/>
      <scheme val="minor"/>
    </font>
    <font>
      <sz val="12"/>
      <color theme="1"/>
      <name val="Calibri (Corps)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7" xfId="0" applyFont="1" applyBorder="1"/>
    <xf numFmtId="2" fontId="0" fillId="0" borderId="2" xfId="0" applyNumberFormat="1" applyBorder="1"/>
    <xf numFmtId="0" fontId="1" fillId="0" borderId="0" xfId="0" applyFont="1"/>
    <xf numFmtId="2" fontId="0" fillId="0" borderId="4" xfId="0" applyNumberFormat="1" applyBorder="1"/>
    <xf numFmtId="0" fontId="1" fillId="0" borderId="8" xfId="0" applyFont="1" applyBorder="1"/>
    <xf numFmtId="2" fontId="0" fillId="0" borderId="6" xfId="0" applyNumberFormat="1" applyBorder="1"/>
    <xf numFmtId="0" fontId="0" fillId="0" borderId="0" xfId="0" applyAlignment="1">
      <alignment wrapText="1"/>
    </xf>
    <xf numFmtId="0" fontId="4" fillId="0" borderId="0" xfId="0" applyFont="1"/>
    <xf numFmtId="0" fontId="4" fillId="0" borderId="3" xfId="0" applyFont="1" applyBorder="1"/>
    <xf numFmtId="0" fontId="0" fillId="2" borderId="3" xfId="0" applyFill="1" applyBorder="1"/>
    <xf numFmtId="2" fontId="0" fillId="2" borderId="4" xfId="0" applyNumberFormat="1" applyFill="1" applyBorder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2" borderId="0" xfId="0" applyFill="1" applyAlignment="1">
      <alignment wrapText="1"/>
    </xf>
    <xf numFmtId="0" fontId="0" fillId="0" borderId="3" xfId="0" applyFill="1" applyBorder="1"/>
    <xf numFmtId="2" fontId="0" fillId="0" borderId="4" xfId="0" applyNumberFormat="1" applyFill="1" applyBorder="1"/>
    <xf numFmtId="0" fontId="0" fillId="0" borderId="0" xfId="0" applyFill="1" applyAlignment="1">
      <alignment wrapText="1"/>
    </xf>
    <xf numFmtId="0" fontId="4" fillId="0" borderId="1" xfId="0" applyFont="1" applyFill="1" applyBorder="1"/>
    <xf numFmtId="0" fontId="0" fillId="0" borderId="2" xfId="0" applyFill="1" applyBorder="1"/>
    <xf numFmtId="0" fontId="4" fillId="2" borderId="3" xfId="0" applyFont="1" applyFill="1" applyBorder="1"/>
    <xf numFmtId="0" fontId="3" fillId="0" borderId="3" xfId="0" applyFont="1" applyBorder="1"/>
    <xf numFmtId="0" fontId="4" fillId="0" borderId="5" xfId="0" applyFont="1" applyBorder="1"/>
    <xf numFmtId="0" fontId="0" fillId="0" borderId="6" xfId="0" applyBorder="1"/>
    <xf numFmtId="0" fontId="4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/>
    <xf numFmtId="164" fontId="0" fillId="0" borderId="4" xfId="0" applyNumberFormat="1" applyBorder="1"/>
    <xf numFmtId="0" fontId="4" fillId="2" borderId="1" xfId="0" applyFon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/>
    <xf numFmtId="0" fontId="0" fillId="0" borderId="8" xfId="0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3" borderId="0" xfId="0" applyFill="1"/>
    <xf numFmtId="0" fontId="4" fillId="3" borderId="1" xfId="0" applyFont="1" applyFill="1" applyBorder="1"/>
    <xf numFmtId="0" fontId="0" fillId="3" borderId="2" xfId="0" applyFill="1" applyBorder="1"/>
    <xf numFmtId="0" fontId="6" fillId="3" borderId="1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4" fillId="3" borderId="3" xfId="0" applyFont="1" applyFill="1" applyBorder="1"/>
    <xf numFmtId="2" fontId="0" fillId="3" borderId="4" xfId="0" applyNumberFormat="1" applyFill="1" applyBorder="1"/>
    <xf numFmtId="164" fontId="0" fillId="3" borderId="4" xfId="0" applyNumberFormat="1" applyFill="1" applyBorder="1"/>
    <xf numFmtId="0" fontId="4" fillId="3" borderId="5" xfId="0" applyFont="1" applyFill="1" applyBorder="1"/>
    <xf numFmtId="2" fontId="0" fillId="3" borderId="6" xfId="0" applyNumberFormat="1" applyFill="1" applyBorder="1"/>
    <xf numFmtId="0" fontId="0" fillId="3" borderId="5" xfId="0" applyFill="1" applyBorder="1"/>
    <xf numFmtId="2" fontId="0" fillId="3" borderId="0" xfId="0" applyNumberFormat="1" applyFill="1"/>
    <xf numFmtId="2" fontId="0" fillId="3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645694</xdr:colOff>
      <xdr:row>12</xdr:row>
      <xdr:rowOff>88995</xdr:rowOff>
    </xdr:from>
    <xdr:to>
      <xdr:col>9</xdr:col>
      <xdr:colOff>711550</xdr:colOff>
      <xdr:row>16</xdr:row>
      <xdr:rowOff>149249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FDDAFC5-D3DD-0408-E7D8-4FCE8FF33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2686" y="2390273"/>
          <a:ext cx="2529465" cy="1091532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0</xdr:row>
      <xdr:rowOff>0</xdr:rowOff>
    </xdr:from>
    <xdr:to>
      <xdr:col>14</xdr:col>
      <xdr:colOff>76199</xdr:colOff>
      <xdr:row>31</xdr:row>
      <xdr:rowOff>25304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5903A58-3B75-06FF-37B1-8821CE67B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2100" y="0"/>
          <a:ext cx="3340100" cy="7226300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26</xdr:row>
      <xdr:rowOff>25400</xdr:rowOff>
    </xdr:from>
    <xdr:to>
      <xdr:col>9</xdr:col>
      <xdr:colOff>800100</xdr:colOff>
      <xdr:row>26</xdr:row>
      <xdr:rowOff>25400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C62992D9-2DDD-CFE4-BB16-8C8B7DA25EAC}"/>
            </a:ext>
          </a:extLst>
        </xdr:cNvPr>
        <xdr:cNvCxnSpPr/>
      </xdr:nvCxnSpPr>
      <xdr:spPr>
        <a:xfrm flipV="1">
          <a:off x="3517900" y="5461000"/>
          <a:ext cx="5600700" cy="0"/>
        </a:xfrm>
        <a:prstGeom prst="straightConnector1">
          <a:avLst/>
        </a:prstGeom>
        <a:ln w="66675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266700</xdr:colOff>
      <xdr:row>18</xdr:row>
      <xdr:rowOff>173474</xdr:rowOff>
    </xdr:from>
    <xdr:to>
      <xdr:col>8</xdr:col>
      <xdr:colOff>614280</xdr:colOff>
      <xdr:row>25</xdr:row>
      <xdr:rowOff>190499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FDD6535-0FF8-BFD0-56C4-36D4D5B57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35500" y="3704074"/>
          <a:ext cx="4699000" cy="1909326"/>
        </a:xfrm>
        <a:prstGeom prst="rect">
          <a:avLst/>
        </a:prstGeom>
      </xdr:spPr>
    </xdr:pic>
    <xdr:clientData/>
  </xdr:twoCellAnchor>
  <xdr:twoCellAnchor editAs="oneCell">
    <xdr:from>
      <xdr:col>8</xdr:col>
      <xdr:colOff>143233</xdr:colOff>
      <xdr:row>42</xdr:row>
      <xdr:rowOff>60333</xdr:rowOff>
    </xdr:from>
    <xdr:to>
      <xdr:col>13</xdr:col>
      <xdr:colOff>746434</xdr:colOff>
      <xdr:row>56</xdr:row>
      <xdr:rowOff>191549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A970B06-C137-A731-59AC-B53F7DA2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00601" y="9208153"/>
          <a:ext cx="4709217" cy="2957682"/>
        </a:xfrm>
        <a:prstGeom prst="rect">
          <a:avLst/>
        </a:prstGeom>
      </xdr:spPr>
    </xdr:pic>
    <xdr:clientData/>
  </xdr:twoCellAnchor>
  <xdr:twoCellAnchor editAs="oneCell">
    <xdr:from>
      <xdr:col>3</xdr:col>
      <xdr:colOff>286467</xdr:colOff>
      <xdr:row>31</xdr:row>
      <xdr:rowOff>171881</xdr:rowOff>
    </xdr:from>
    <xdr:to>
      <xdr:col>12</xdr:col>
      <xdr:colOff>448415</xdr:colOff>
      <xdr:row>38</xdr:row>
      <xdr:rowOff>23459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41A5FAE-2119-F8F1-2D05-4B7B0D465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34001" y="6663204"/>
          <a:ext cx="8034038" cy="1260992"/>
        </a:xfrm>
        <a:prstGeom prst="rect">
          <a:avLst/>
        </a:prstGeom>
      </xdr:spPr>
    </xdr:pic>
    <xdr:clientData/>
  </xdr:twoCellAnchor>
  <xdr:twoCellAnchor editAs="oneCell">
    <xdr:from>
      <xdr:col>6</xdr:col>
      <xdr:colOff>238722</xdr:colOff>
      <xdr:row>61</xdr:row>
      <xdr:rowOff>76389</xdr:rowOff>
    </xdr:from>
    <xdr:to>
      <xdr:col>15</xdr:col>
      <xdr:colOff>620294</xdr:colOff>
      <xdr:row>67</xdr:row>
      <xdr:rowOff>141863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ED59D35-9A08-AC43-8ACC-12C6F2CB1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36331" y="12795487"/>
          <a:ext cx="8064595" cy="1274361"/>
        </a:xfrm>
        <a:prstGeom prst="rect">
          <a:avLst/>
        </a:prstGeom>
      </xdr:spPr>
    </xdr:pic>
    <xdr:clientData/>
  </xdr:twoCellAnchor>
  <xdr:twoCellAnchor editAs="oneCell">
    <xdr:from>
      <xdr:col>12</xdr:col>
      <xdr:colOff>437339</xdr:colOff>
      <xdr:row>32</xdr:row>
      <xdr:rowOff>141324</xdr:rowOff>
    </xdr:from>
    <xdr:to>
      <xdr:col>21</xdr:col>
      <xdr:colOff>82311</xdr:colOff>
      <xdr:row>38</xdr:row>
      <xdr:rowOff>163000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2AF1AD91-8A15-7B47-8FE1-3457A6FF1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356963" y="6833174"/>
          <a:ext cx="7327995" cy="1230563"/>
        </a:xfrm>
        <a:prstGeom prst="rect">
          <a:avLst/>
        </a:prstGeom>
      </xdr:spPr>
    </xdr:pic>
    <xdr:clientData/>
  </xdr:twoCellAnchor>
  <xdr:twoCellAnchor editAs="oneCell">
    <xdr:from>
      <xdr:col>6</xdr:col>
      <xdr:colOff>324662</xdr:colOff>
      <xdr:row>84</xdr:row>
      <xdr:rowOff>181428</xdr:rowOff>
    </xdr:from>
    <xdr:to>
      <xdr:col>11</xdr:col>
      <xdr:colOff>200526</xdr:colOff>
      <xdr:row>95</xdr:row>
      <xdr:rowOff>28351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1A198FB3-DEF7-0419-A1FB-1907FF4AE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39624" y="17808646"/>
          <a:ext cx="3981880" cy="2071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6E0C0-1D66-744D-A31A-CAF5BDA4D5C0}">
  <dimension ref="A1:G92"/>
  <sheetViews>
    <sheetView tabSelected="1" topLeftCell="A71" zoomScale="133" workbookViewId="0">
      <selection activeCell="A80" sqref="A63:XFD80"/>
    </sheetView>
  </sheetViews>
  <sheetFormatPr baseColWidth="10" defaultRowHeight="15.6"/>
  <cols>
    <col min="1" max="1" width="31.5" customWidth="1"/>
    <col min="2" max="2" width="18" customWidth="1"/>
    <col min="3" max="3" width="16.796875" bestFit="1" customWidth="1"/>
    <col min="5" max="5" width="13.69921875" customWidth="1"/>
  </cols>
  <sheetData>
    <row r="1" spans="1:7" ht="16.2" thickBot="1">
      <c r="B1" t="s">
        <v>17</v>
      </c>
      <c r="C1">
        <v>15</v>
      </c>
    </row>
    <row r="2" spans="1:7">
      <c r="B2" s="2" t="s">
        <v>7</v>
      </c>
      <c r="C2" s="3">
        <v>2</v>
      </c>
    </row>
    <row r="3" spans="1:7">
      <c r="B3" s="4" t="s">
        <v>6</v>
      </c>
      <c r="C3" s="5">
        <v>30</v>
      </c>
    </row>
    <row r="4" spans="1:7" ht="16.2" thickBot="1">
      <c r="B4" s="4" t="s">
        <v>4</v>
      </c>
      <c r="C4" s="5">
        <v>2</v>
      </c>
    </row>
    <row r="5" spans="1:7">
      <c r="B5" s="2" t="s">
        <v>0</v>
      </c>
      <c r="C5" s="7" t="s">
        <v>8</v>
      </c>
      <c r="D5" s="8">
        <f>$C$2*TAN($C$3*PI()/180)</f>
        <v>1.1547005383792515</v>
      </c>
    </row>
    <row r="6" spans="1:7">
      <c r="B6" s="4" t="s">
        <v>1</v>
      </c>
      <c r="C6" s="9" t="s">
        <v>9</v>
      </c>
      <c r="D6" s="10">
        <f>$C$2*TAN(($C$3/2+45)*PI()/180)</f>
        <v>3.4641016151377535</v>
      </c>
    </row>
    <row r="7" spans="1:7">
      <c r="B7" s="4" t="s">
        <v>2</v>
      </c>
      <c r="C7" s="9" t="s">
        <v>10</v>
      </c>
      <c r="D7" s="10">
        <f>($C$2+$C$4)*TAN($C$3*PI()/180)</f>
        <v>2.3094010767585029</v>
      </c>
    </row>
    <row r="8" spans="1:7" ht="16.2" thickBot="1">
      <c r="B8" s="6" t="s">
        <v>3</v>
      </c>
      <c r="C8" s="11" t="s">
        <v>11</v>
      </c>
      <c r="D8" s="12">
        <f>($C$2+$C$4)*TAN(($C$3/2+45)*PI()/180)</f>
        <v>6.928203230275507</v>
      </c>
    </row>
    <row r="9" spans="1:7" ht="16.2" thickBot="1">
      <c r="B9" s="44" t="s">
        <v>12</v>
      </c>
      <c r="C9" s="45"/>
      <c r="D9" s="46"/>
      <c r="G9" t="s">
        <v>61</v>
      </c>
    </row>
    <row r="10" spans="1:7">
      <c r="B10" s="20" t="s">
        <v>5</v>
      </c>
      <c r="C10" s="21">
        <v>0.3</v>
      </c>
      <c r="D10" s="19"/>
    </row>
    <row r="11" spans="1:7">
      <c r="B11" s="14" t="s">
        <v>60</v>
      </c>
      <c r="C11" s="1">
        <f>$C$35*COS($C$36*PI()/180)</f>
        <v>0.28190778623577251</v>
      </c>
      <c r="D11" s="19"/>
    </row>
    <row r="12" spans="1:7" ht="16.2" thickBot="1">
      <c r="B12" s="14" t="s">
        <v>39</v>
      </c>
      <c r="C12" s="1">
        <f>$C$35*COS($C$36*PI()/180)*1.1</f>
        <v>0.31009856485934978</v>
      </c>
    </row>
    <row r="13" spans="1:7">
      <c r="B13" s="2"/>
      <c r="C13" s="3"/>
    </row>
    <row r="14" spans="1:7" ht="31.2">
      <c r="A14" s="25" t="s">
        <v>62</v>
      </c>
      <c r="B14" s="23" t="s">
        <v>13</v>
      </c>
      <c r="C14" s="24">
        <f>2*$C$4/$C$12*TAN(PI()/4-$C$3/2*PI()/180)+$D$5+$D$6-$D$8</f>
        <v>5.137911934206155</v>
      </c>
    </row>
    <row r="15" spans="1:7">
      <c r="B15" s="4"/>
      <c r="C15" s="10"/>
    </row>
    <row r="16" spans="1:7">
      <c r="B16" s="4"/>
      <c r="C16" s="10"/>
    </row>
    <row r="17" spans="1:3">
      <c r="A17" t="s">
        <v>63</v>
      </c>
      <c r="B17" s="4" t="s">
        <v>13</v>
      </c>
      <c r="C17" s="10">
        <f>2*$C$4/$C$12*TAN(PI()/4-$C$3/2*PI()/180)+$D$5+$D$7-$D$8</f>
        <v>3.9832113958269044</v>
      </c>
    </row>
    <row r="18" spans="1:3" ht="16.2" thickBot="1">
      <c r="A18" t="s">
        <v>59</v>
      </c>
      <c r="B18" s="47">
        <f>IF($D$6&gt;$D$7,C14,C17)</f>
        <v>5.137911934206155</v>
      </c>
      <c r="C18" s="48"/>
    </row>
    <row r="19" spans="1:3" ht="16.2" thickBot="1"/>
    <row r="20" spans="1:3">
      <c r="A20" s="25" t="s">
        <v>14</v>
      </c>
      <c r="B20" s="26" t="s">
        <v>16</v>
      </c>
      <c r="C20" s="27">
        <f>2*$C$4*$C$1/($D$7+$D$8-$D$5-$D$6)*TAN(PI()/4-$C$3/2*PI()/180)</f>
        <v>7.5000000000000009</v>
      </c>
    </row>
    <row r="21" spans="1:3">
      <c r="A21" s="13"/>
      <c r="B21" s="15"/>
      <c r="C21" s="5"/>
    </row>
    <row r="22" spans="1:3">
      <c r="A22" s="22" t="s">
        <v>15</v>
      </c>
      <c r="B22" s="28" t="s">
        <v>16</v>
      </c>
      <c r="C22" s="17">
        <f>2*$C$4*$C$1/($D$8-$D$5)*TAN(PI()/4-$C$3/2*PI()/180)</f>
        <v>6.0000000000000027</v>
      </c>
    </row>
    <row r="23" spans="1:3">
      <c r="B23" s="4"/>
      <c r="C23" s="5"/>
    </row>
    <row r="24" spans="1:3">
      <c r="B24" s="16" t="s">
        <v>18</v>
      </c>
      <c r="C24" s="17">
        <f>C12*C1</f>
        <v>4.651478472890247</v>
      </c>
    </row>
    <row r="25" spans="1:3">
      <c r="B25" s="4"/>
      <c r="C25" s="5"/>
    </row>
    <row r="26" spans="1:3" ht="16.2" thickBot="1">
      <c r="B26" s="49" t="str">
        <f>IF($C$22&gt;$C$24, "s_max &gt; Kaq Q, il faut tronquer à Kaq.q", "s_max &lt; Kaq . Q , la repartition triangulaire")</f>
        <v>s_max &gt; Kaq Q, il faut tronquer à Kaq.q</v>
      </c>
      <c r="C26" s="50"/>
    </row>
    <row r="28" spans="1:3" ht="16.2" thickBot="1"/>
    <row r="29" spans="1:3">
      <c r="A29" s="13" t="s">
        <v>74</v>
      </c>
      <c r="B29" s="2" t="s">
        <v>19</v>
      </c>
      <c r="C29" s="3">
        <v>1</v>
      </c>
    </row>
    <row r="30" spans="1:3">
      <c r="B30" s="4" t="s">
        <v>20</v>
      </c>
      <c r="C30" s="5">
        <v>4</v>
      </c>
    </row>
    <row r="31" spans="1:3" ht="18">
      <c r="A31" s="18"/>
      <c r="B31" s="29" t="s">
        <v>75</v>
      </c>
      <c r="C31" s="5">
        <v>18</v>
      </c>
    </row>
    <row r="32" spans="1:3">
      <c r="B32" s="15" t="s">
        <v>21</v>
      </c>
      <c r="C32" s="5">
        <v>19</v>
      </c>
    </row>
    <row r="33" spans="1:7">
      <c r="B33" s="15" t="s">
        <v>34</v>
      </c>
      <c r="C33" s="5">
        <v>10</v>
      </c>
    </row>
    <row r="34" spans="1:7">
      <c r="B34" s="4" t="s">
        <v>22</v>
      </c>
      <c r="C34" s="5">
        <v>0</v>
      </c>
    </row>
    <row r="35" spans="1:7">
      <c r="B35" s="4" t="s">
        <v>27</v>
      </c>
      <c r="C35" s="5">
        <f>C10</f>
        <v>0.3</v>
      </c>
    </row>
    <row r="36" spans="1:7">
      <c r="B36" s="15" t="s">
        <v>23</v>
      </c>
      <c r="C36" s="5">
        <v>20</v>
      </c>
    </row>
    <row r="37" spans="1:7">
      <c r="B37" s="15" t="s">
        <v>24</v>
      </c>
      <c r="C37" s="5">
        <v>-10</v>
      </c>
    </row>
    <row r="38" spans="1:7" ht="16.2" thickBot="1">
      <c r="B38" s="30" t="s">
        <v>32</v>
      </c>
      <c r="C38" s="31">
        <v>2.1</v>
      </c>
    </row>
    <row r="39" spans="1:7">
      <c r="B39" s="14" t="s">
        <v>60</v>
      </c>
      <c r="C39" s="1">
        <f>$C$35*COS($C$36*PI()/180)</f>
        <v>0.28190778623577251</v>
      </c>
    </row>
    <row r="40" spans="1:7">
      <c r="B40" s="14" t="s">
        <v>39</v>
      </c>
      <c r="C40" s="1">
        <f>$C$35*COS($C$36*PI()/180)*1.1</f>
        <v>0.31009856485934978</v>
      </c>
    </row>
    <row r="41" spans="1:7" ht="16.2" thickBot="1">
      <c r="B41" s="32"/>
      <c r="C41" s="33"/>
      <c r="D41" s="34"/>
      <c r="E41" s="34"/>
      <c r="F41" s="34"/>
      <c r="G41" t="s">
        <v>66</v>
      </c>
    </row>
    <row r="42" spans="1:7" ht="31.2">
      <c r="A42" s="13" t="s">
        <v>64</v>
      </c>
      <c r="B42" s="37" t="s">
        <v>29</v>
      </c>
      <c r="C42" s="38">
        <v>10.901902156185219</v>
      </c>
      <c r="D42" s="39" t="s">
        <v>55</v>
      </c>
      <c r="E42" s="40">
        <f>($C$35*COS($C$36*PI()/180)*$C$31*$C$29*$C$29/2)*(($C$30-$C$29+$C$42)+$C$29/3)+($C$35*COS($C$36*PI()/180)*$C$31*$C$29*($C$30-$C$29+$C$42)/2)*(($C$30-$C$29+$C$42)/2)+($C$35*COS($C$36*PI()/180)*($C$32-$C$33)*($C$30-$C$29+$C$42)^2/2)*(($C$30-$C$29+$C$42)/3)-($C$38*($C$32-$C$33)*$C$42^2/2)*($C$42/3)+($C$33*($C$30-$C$29+$C$42)^2/2)*(($C$30-$C$29+$C$42)/3)-($C$33*$C$42^2/2)*($C$42/3)+$C$53*(($C$42+$C$30-$C$29)+((2/3)*($D$7-$D$5)))+$C$54*(($C$42+$C$30-$C$29)+($D$7-$D$5)+(($C$14-$D$7)/2))+$C$55*(($C$42+$C$30-$C$29)+($C$14-$D$5)+((2/3)*($D$8-$C$14)))</f>
        <v>-10.177334711502439</v>
      </c>
      <c r="F42" s="41"/>
      <c r="G42" s="34" t="s">
        <v>65</v>
      </c>
    </row>
    <row r="43" spans="1:7">
      <c r="B43" s="4"/>
      <c r="C43" s="10"/>
      <c r="D43" s="4"/>
      <c r="E43" s="42"/>
      <c r="F43" s="5"/>
    </row>
    <row r="44" spans="1:7">
      <c r="A44" t="s">
        <v>25</v>
      </c>
      <c r="B44" s="15" t="s">
        <v>26</v>
      </c>
      <c r="C44" s="10">
        <f>C39*$C$31*$C$29*$C$29/2</f>
        <v>2.5371700761219524</v>
      </c>
      <c r="D44" s="4"/>
      <c r="E44" s="42" t="s">
        <v>46</v>
      </c>
      <c r="F44" s="10">
        <f>($C$30-$C$29+$C$42)+$C$29/3</f>
        <v>14.235235489518553</v>
      </c>
    </row>
    <row r="45" spans="1:7">
      <c r="B45" s="15" t="s">
        <v>28</v>
      </c>
      <c r="C45" s="10">
        <f>C39*$C$31*$C$29*($C$30-$C$29+$C$42)</f>
        <v>70.54298030369678</v>
      </c>
      <c r="D45" s="4"/>
      <c r="E45" s="42" t="s">
        <v>47</v>
      </c>
      <c r="F45" s="36">
        <f>($C$30-$C$29+$C$42)/2</f>
        <v>6.9509510780926096</v>
      </c>
    </row>
    <row r="46" spans="1:7">
      <c r="B46" s="15" t="s">
        <v>31</v>
      </c>
      <c r="C46" s="10">
        <f>C39*($C$32-$C$33)*($C$30-$C$29+$C$42)^2/2</f>
        <v>245.17040249692343</v>
      </c>
      <c r="D46" s="4"/>
      <c r="E46" s="42" t="s">
        <v>48</v>
      </c>
      <c r="F46" s="10">
        <f>($C$30-$C$29+$C$42)/3</f>
        <v>4.6339673853950734</v>
      </c>
    </row>
    <row r="47" spans="1:7">
      <c r="B47" s="15" t="s">
        <v>33</v>
      </c>
      <c r="C47" s="10">
        <f>$C$38*($C$32-$C$33)*$C$42^2/2</f>
        <v>1123.1463973876898</v>
      </c>
      <c r="D47" s="4"/>
      <c r="E47" s="42" t="s">
        <v>49</v>
      </c>
      <c r="F47" s="10">
        <f>$C$42/3</f>
        <v>3.6339673853950729</v>
      </c>
    </row>
    <row r="48" spans="1:7">
      <c r="B48" s="4"/>
      <c r="C48" s="10"/>
      <c r="D48" s="4"/>
      <c r="E48" s="42"/>
      <c r="F48" s="5"/>
    </row>
    <row r="49" spans="1:6">
      <c r="A49" t="s">
        <v>35</v>
      </c>
      <c r="B49" s="15" t="s">
        <v>36</v>
      </c>
      <c r="C49" s="10">
        <f>$C$33*($C$30-$C$29+$C$42)^2/2</f>
        <v>966.31441780073624</v>
      </c>
      <c r="D49" s="4"/>
      <c r="E49" s="42" t="s">
        <v>50</v>
      </c>
      <c r="F49" s="10">
        <f>($C$30-$C$29+$C$42)/3</f>
        <v>4.6339673853950734</v>
      </c>
    </row>
    <row r="50" spans="1:6">
      <c r="B50" s="15" t="s">
        <v>37</v>
      </c>
      <c r="C50" s="10">
        <f>$C$33*$C$42^2/2</f>
        <v>594.25735311517974</v>
      </c>
      <c r="D50" s="4"/>
      <c r="E50" s="42" t="s">
        <v>51</v>
      </c>
      <c r="F50" s="10">
        <f>$C$42/3</f>
        <v>3.6339673853950729</v>
      </c>
    </row>
    <row r="51" spans="1:6">
      <c r="B51" s="15"/>
      <c r="C51" s="10"/>
      <c r="D51" s="4"/>
      <c r="E51" s="42"/>
      <c r="F51" s="5"/>
    </row>
    <row r="52" spans="1:6">
      <c r="B52" s="15" t="s">
        <v>17</v>
      </c>
      <c r="C52" s="10">
        <f>$C$1</f>
        <v>15</v>
      </c>
      <c r="D52" s="4"/>
      <c r="E52" s="42"/>
      <c r="F52" s="5"/>
    </row>
    <row r="53" spans="1:6">
      <c r="A53" t="s">
        <v>38</v>
      </c>
      <c r="B53" s="15" t="s">
        <v>40</v>
      </c>
      <c r="C53" s="10">
        <f>$C$40*$C$73*($D$7-$D$5)/2</f>
        <v>2.6855323484529334</v>
      </c>
      <c r="D53" s="4"/>
      <c r="E53" s="42" t="s">
        <v>52</v>
      </c>
      <c r="F53" s="10">
        <f>($C$42+$C$30-$C$29)+((2/3)*($D$7-$D$5))</f>
        <v>14.67170251510472</v>
      </c>
    </row>
    <row r="54" spans="1:6">
      <c r="B54" s="15" t="s">
        <v>41</v>
      </c>
      <c r="C54" s="10">
        <f>$C$40*$C$73*($C$14-$D$7)</f>
        <v>13.156757363754087</v>
      </c>
      <c r="D54" s="4"/>
      <c r="E54" s="42" t="s">
        <v>53</v>
      </c>
      <c r="F54" s="10">
        <f>($C$42+$C$30-$C$29)+($D$7-$D$5)+(($C$14-$D$7)/2)</f>
        <v>16.470858123288298</v>
      </c>
    </row>
    <row r="55" spans="1:6" ht="16.2" thickBot="1">
      <c r="B55" s="30" t="s">
        <v>42</v>
      </c>
      <c r="C55" s="12">
        <f>$C$40*$C$73*($D$8-$C$14)/2</f>
        <v>4.1637507119346848</v>
      </c>
      <c r="D55" s="6"/>
      <c r="E55" s="43" t="s">
        <v>54</v>
      </c>
      <c r="F55" s="12">
        <f>($C$42+$C$30-$C$29)+($C$14-$D$5)+((2/3)*($D$8-$C$14))</f>
        <v>19.078641082725024</v>
      </c>
    </row>
    <row r="56" spans="1:6">
      <c r="B56" s="14"/>
      <c r="C56" s="1"/>
    </row>
    <row r="57" spans="1:6">
      <c r="B57" s="14"/>
      <c r="C57" s="1"/>
    </row>
    <row r="58" spans="1:6">
      <c r="B58" s="14"/>
      <c r="C58" s="1"/>
    </row>
    <row r="59" spans="1:6">
      <c r="B59" s="14"/>
      <c r="C59" s="1"/>
    </row>
    <row r="60" spans="1:6">
      <c r="B60" s="14"/>
      <c r="C60" s="1"/>
    </row>
    <row r="61" spans="1:6">
      <c r="B61" s="14"/>
    </row>
    <row r="62" spans="1:6" ht="16.2" thickBot="1">
      <c r="B62" s="14"/>
    </row>
    <row r="63" spans="1:6" s="51" customFormat="1">
      <c r="A63" s="51" t="s">
        <v>30</v>
      </c>
      <c r="B63" s="52" t="s">
        <v>29</v>
      </c>
      <c r="C63" s="53">
        <v>11.18</v>
      </c>
      <c r="E63" s="54" t="s">
        <v>55</v>
      </c>
      <c r="F63" s="53">
        <f>C65*F65+C66*F66+C67*F67-C68*F68+C70*F70-C71*F71+C74*F74+C75*F75+C76*F76</f>
        <v>-0.57327570726611299</v>
      </c>
    </row>
    <row r="64" spans="1:6" s="51" customFormat="1">
      <c r="B64" s="55"/>
      <c r="C64" s="56"/>
      <c r="E64" s="55"/>
      <c r="F64" s="56"/>
    </row>
    <row r="65" spans="1:6" s="51" customFormat="1">
      <c r="A65" s="51" t="s">
        <v>25</v>
      </c>
      <c r="B65" s="57" t="s">
        <v>26</v>
      </c>
      <c r="C65" s="58">
        <f>$C$35*COS($C$36*PI()/180)*$C$31*$C$29*$C$29/2</f>
        <v>2.5371700761219524</v>
      </c>
      <c r="E65" s="55" t="s">
        <v>46</v>
      </c>
      <c r="F65" s="58">
        <f>($C$30-$C$29+$C$63)+$C$29/3</f>
        <v>14.513333333333334</v>
      </c>
    </row>
    <row r="66" spans="1:6" s="51" customFormat="1">
      <c r="B66" s="57" t="s">
        <v>28</v>
      </c>
      <c r="C66" s="58">
        <f>C39*$C$31*$C$29*($C$30-$C$29+$C$63)</f>
        <v>71.95414335881857</v>
      </c>
      <c r="E66" s="55" t="s">
        <v>47</v>
      </c>
      <c r="F66" s="59">
        <f>($C$30-$C$29+$C$63)/2</f>
        <v>7.09</v>
      </c>
    </row>
    <row r="67" spans="1:6" s="51" customFormat="1">
      <c r="B67" s="57" t="s">
        <v>31</v>
      </c>
      <c r="C67" s="58">
        <f>$C$35*COS($C$36*PI()/180)*($C$32-$C$33)*($C$30-$C$29+$C$63)^2/2</f>
        <v>255.07743820701182</v>
      </c>
      <c r="E67" s="55" t="s">
        <v>48</v>
      </c>
      <c r="F67" s="58">
        <f>($C$30-$C$29+$C$63)/3</f>
        <v>4.7266666666666666</v>
      </c>
    </row>
    <row r="68" spans="1:6" s="51" customFormat="1">
      <c r="B68" s="57" t="s">
        <v>33</v>
      </c>
      <c r="C68" s="58">
        <f>$C$38*($C$32-$C$33)*$C$63^2/2</f>
        <v>1181.1781800000001</v>
      </c>
      <c r="E68" s="55" t="s">
        <v>49</v>
      </c>
      <c r="F68" s="58">
        <f>$C$63/3</f>
        <v>3.7266666666666666</v>
      </c>
    </row>
    <row r="69" spans="1:6" s="51" customFormat="1">
      <c r="B69" s="55"/>
      <c r="C69" s="58"/>
      <c r="E69" s="55"/>
      <c r="F69" s="56"/>
    </row>
    <row r="70" spans="1:6" s="51" customFormat="1">
      <c r="A70" s="51" t="s">
        <v>35</v>
      </c>
      <c r="B70" s="57" t="s">
        <v>36</v>
      </c>
      <c r="C70" s="58">
        <f>$C$33*($C$30-$C$29+$C$63)^2/2</f>
        <v>1005.362</v>
      </c>
      <c r="E70" s="55" t="s">
        <v>50</v>
      </c>
      <c r="F70" s="58">
        <f>($C$30-$C$29+$C$63)/3</f>
        <v>4.7266666666666666</v>
      </c>
    </row>
    <row r="71" spans="1:6" s="51" customFormat="1">
      <c r="B71" s="57" t="s">
        <v>37</v>
      </c>
      <c r="C71" s="58">
        <f>$C$33*$C$63^2/2</f>
        <v>624.96199999999999</v>
      </c>
      <c r="E71" s="55" t="s">
        <v>51</v>
      </c>
      <c r="F71" s="58">
        <f>$C$63/3</f>
        <v>3.7266666666666666</v>
      </c>
    </row>
    <row r="72" spans="1:6" s="51" customFormat="1">
      <c r="B72" s="57"/>
      <c r="C72" s="58"/>
      <c r="E72" s="55"/>
      <c r="F72" s="56"/>
    </row>
    <row r="73" spans="1:6" s="51" customFormat="1">
      <c r="B73" s="57" t="s">
        <v>17</v>
      </c>
      <c r="C73" s="58">
        <f>$C$1</f>
        <v>15</v>
      </c>
      <c r="E73" s="55"/>
      <c r="F73" s="56"/>
    </row>
    <row r="74" spans="1:6" s="51" customFormat="1">
      <c r="A74" s="51" t="s">
        <v>38</v>
      </c>
      <c r="B74" s="57" t="s">
        <v>40</v>
      </c>
      <c r="C74" s="58">
        <f>$C$40*$C$73*($D$7-$D$5)/2</f>
        <v>2.6855323484529334</v>
      </c>
      <c r="E74" s="55" t="s">
        <v>52</v>
      </c>
      <c r="F74" s="58">
        <f>($C$63+$C$30-$D$5)-((2/3)*($D$7-$D$5))</f>
        <v>13.255499102701247</v>
      </c>
    </row>
    <row r="75" spans="1:6" s="51" customFormat="1">
      <c r="B75" s="57" t="s">
        <v>41</v>
      </c>
      <c r="C75" s="58">
        <f>$C$40*$C$73*($C$14-$D$7)</f>
        <v>13.156757363754087</v>
      </c>
      <c r="E75" s="55" t="s">
        <v>53</v>
      </c>
      <c r="F75" s="58">
        <f>($C$63+$C$30-$D$7)-(($C$14-$D$7)/2)</f>
        <v>11.456343494517672</v>
      </c>
    </row>
    <row r="76" spans="1:6" s="51" customFormat="1" ht="16.2" thickBot="1">
      <c r="B76" s="60" t="s">
        <v>42</v>
      </c>
      <c r="C76" s="61">
        <f>$C$40*$C$73*($D$8-$C$14)/2</f>
        <v>4.1637507119346848</v>
      </c>
      <c r="E76" s="62" t="s">
        <v>54</v>
      </c>
      <c r="F76" s="61">
        <f>($C$63+$C$30-$C$14)-(($D$8-$C$14)/3)</f>
        <v>9.4453243004373935</v>
      </c>
    </row>
    <row r="77" spans="1:6" s="51" customFormat="1" ht="16.2" thickBot="1">
      <c r="C77" s="63"/>
    </row>
    <row r="78" spans="1:6" s="51" customFormat="1">
      <c r="A78" s="51" t="s">
        <v>43</v>
      </c>
      <c r="B78" s="52" t="s">
        <v>44</v>
      </c>
      <c r="C78" s="64">
        <f>SUM(C65:C67)+SUM(C74:C76)+C70</f>
        <v>1354.9367920660941</v>
      </c>
    </row>
    <row r="79" spans="1:6" s="51" customFormat="1">
      <c r="B79" s="57" t="s">
        <v>45</v>
      </c>
      <c r="C79" s="58">
        <f>C68+C71</f>
        <v>1806.1401800000001</v>
      </c>
    </row>
    <row r="80" spans="1:6" s="51" customFormat="1" ht="16.2" thickBot="1">
      <c r="B80" s="60" t="s">
        <v>43</v>
      </c>
      <c r="C80" s="61">
        <f>C78-C79</f>
        <v>-451.20338793390601</v>
      </c>
    </row>
    <row r="81" spans="2:5">
      <c r="C81" s="1"/>
    </row>
    <row r="82" spans="2:5">
      <c r="C82" s="1"/>
    </row>
    <row r="83" spans="2:5">
      <c r="C83" s="1"/>
    </row>
    <row r="84" spans="2:5" ht="16.2" thickBot="1">
      <c r="C84" s="1"/>
    </row>
    <row r="85" spans="2:5">
      <c r="B85" s="35" t="s">
        <v>56</v>
      </c>
      <c r="C85" s="8">
        <f>$C$35*$C$31*$C$29+$C$35*($C$32-$C$33)*($C$30-$C$29)+$C$33*($C$30-$C$29)+$C$40*$C$1</f>
        <v>48.151478472890247</v>
      </c>
    </row>
    <row r="86" spans="2:5">
      <c r="B86" s="15" t="s">
        <v>57</v>
      </c>
      <c r="C86" s="10">
        <f>$C$35*$C$31*$C$29+$C$35*($C$32-$C$33)*($C$30-$C$29+$C$14-$C$30)+$C$33*($C$30-$C$29+$C$14-$C$30)+$C$40*$C$1-$C$38*($C$32-$C$33)*($C$14-$C$30)-$C$33*($C$14-$C$30)</f>
        <v>29.717305138750532</v>
      </c>
      <c r="D86" t="s">
        <v>13</v>
      </c>
      <c r="E86" s="1">
        <f>$B$18</f>
        <v>5.137911934206155</v>
      </c>
    </row>
    <row r="87" spans="2:5">
      <c r="B87" s="15" t="s">
        <v>58</v>
      </c>
      <c r="C87" s="10">
        <f>$C$35*$C$31*$C$29+$C$35*($C$32-$C$33)*($C$30-$C$29+$D$8-$C$30)+$C$33*($C$30-$C$29+$D$8-$C$30)-$C$38*($C$32-$C$33)*($D$8-$C$30)-$C$33*($D$8-$C$30)</f>
        <v>-3.9368923304632304</v>
      </c>
      <c r="D87" t="s">
        <v>3</v>
      </c>
      <c r="E87" s="1">
        <f>$D$8</f>
        <v>6.928203230275507</v>
      </c>
    </row>
    <row r="88" spans="2:5">
      <c r="B88" s="15" t="s">
        <v>67</v>
      </c>
      <c r="C88" s="10">
        <f>-C86+C87</f>
        <v>-33.654197469213763</v>
      </c>
      <c r="D88" s="14" t="s">
        <v>68</v>
      </c>
      <c r="E88" s="1">
        <f>E87-E86</f>
        <v>1.790291296069352</v>
      </c>
    </row>
    <row r="89" spans="2:5">
      <c r="B89" s="15" t="s">
        <v>69</v>
      </c>
      <c r="C89" s="10">
        <f>C88/E88</f>
        <v>-18.79816851207552</v>
      </c>
    </row>
    <row r="90" spans="2:5">
      <c r="B90" s="4"/>
      <c r="C90" s="5"/>
    </row>
    <row r="91" spans="2:5">
      <c r="B91" s="15" t="s">
        <v>70</v>
      </c>
      <c r="C91" s="5" t="s">
        <v>71</v>
      </c>
      <c r="E91" t="s">
        <v>72</v>
      </c>
    </row>
    <row r="92" spans="2:5" ht="16.2" thickBot="1">
      <c r="B92" s="6">
        <v>6.7187736612228477</v>
      </c>
      <c r="C92" s="31">
        <f>$C$86+$C$89*($B$92-$E$86)</f>
        <v>0</v>
      </c>
      <c r="E92" t="s">
        <v>73</v>
      </c>
    </row>
  </sheetData>
  <mergeCells count="3">
    <mergeCell ref="B9:D9"/>
    <mergeCell ref="B18:C18"/>
    <mergeCell ref="B26:C26"/>
  </mergeCells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Daouadji</dc:creator>
  <cp:lastModifiedBy>Laurent</cp:lastModifiedBy>
  <dcterms:created xsi:type="dcterms:W3CDTF">2024-01-07T16:26:30Z</dcterms:created>
  <dcterms:modified xsi:type="dcterms:W3CDTF">2024-05-23T15:03:09Z</dcterms:modified>
</cp:coreProperties>
</file>